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DATA ENTRY" sheetId="1" r:id="rId1"/>
    <sheet name="Proceedings" sheetId="2" r:id="rId2"/>
    <sheet name="47 In" sheetId="3" r:id="rId3"/>
    <sheet name="47 Out" sheetId="4" r:id="rId4"/>
    <sheet name="Token" sheetId="5" r:id="rId5"/>
  </sheets>
  <definedNames>
    <definedName name="_xlnm.Print_Area" localSheetId="1">'Proceedings'!$A$1:$E$48</definedName>
  </definedNames>
  <calcPr fullCalcOnLoad="1"/>
</workbook>
</file>

<file path=xl/sharedStrings.xml><?xml version="1.0" encoding="utf-8"?>
<sst xmlns="http://schemas.openxmlformats.org/spreadsheetml/2006/main" count="718" uniqueCount="491">
  <si>
    <t>Senior</t>
  </si>
  <si>
    <t>Junior</t>
  </si>
  <si>
    <t>Name</t>
  </si>
  <si>
    <t>Designation</t>
  </si>
  <si>
    <t>Place of Working</t>
  </si>
  <si>
    <t>Particulars</t>
  </si>
  <si>
    <t>Division</t>
  </si>
  <si>
    <t>Bill Period Upto</t>
  </si>
  <si>
    <t>www.prtunzb.org</t>
  </si>
  <si>
    <t>Programme Developed By:</t>
  </si>
  <si>
    <t>Putta Srinivas Reddy</t>
  </si>
  <si>
    <t>General Secretary,</t>
  </si>
  <si>
    <t>PRTU Domakonda, Nizamabad</t>
  </si>
  <si>
    <t>98490 25860</t>
  </si>
  <si>
    <t>Pay as on 01.07.2008 in RPS, 2005</t>
  </si>
  <si>
    <t>1)</t>
  </si>
  <si>
    <t>2)</t>
  </si>
  <si>
    <t>SGT</t>
  </si>
  <si>
    <t>School Assistant</t>
  </si>
  <si>
    <t>Language Pandit</t>
  </si>
  <si>
    <t>PET</t>
  </si>
  <si>
    <t>LFL HM</t>
  </si>
  <si>
    <t>Mandal</t>
  </si>
  <si>
    <t>Date of 1st Appointment</t>
  </si>
  <si>
    <t>Date of Reg. Time Scale</t>
  </si>
  <si>
    <t>July,2009</t>
  </si>
  <si>
    <t>Aug,2009</t>
  </si>
  <si>
    <t>Sept,2009</t>
  </si>
  <si>
    <t>Oct,2009</t>
  </si>
  <si>
    <t>Nov,2009</t>
  </si>
  <si>
    <t>Dec,2009</t>
  </si>
  <si>
    <t>Jan,2010</t>
  </si>
  <si>
    <t>Feb,2010</t>
  </si>
  <si>
    <t>Mar,2010</t>
  </si>
  <si>
    <t>Apr,2010</t>
  </si>
  <si>
    <t>May,2010</t>
  </si>
  <si>
    <t>June,2010</t>
  </si>
  <si>
    <t>July,2010</t>
  </si>
  <si>
    <t>Aug,2010</t>
  </si>
  <si>
    <t>Sept,2010</t>
  </si>
  <si>
    <t>Oct,2010</t>
  </si>
  <si>
    <t>Nov,2010</t>
  </si>
  <si>
    <t>Dec,2010</t>
  </si>
  <si>
    <t>Jan,2011</t>
  </si>
  <si>
    <t>Feb,2011</t>
  </si>
  <si>
    <t>Mar,2011</t>
  </si>
  <si>
    <t xml:space="preserve">Proceedings of the </t>
  </si>
  <si>
    <t>Mandal Eduacational Officer</t>
  </si>
  <si>
    <t>Gazetted Head Master</t>
  </si>
  <si>
    <t>Gazetted Head Misteress</t>
  </si>
  <si>
    <t>Head Master</t>
  </si>
  <si>
    <t>Head Misteress</t>
  </si>
  <si>
    <t>Dy. Educational Officer</t>
  </si>
  <si>
    <t>May,11</t>
  </si>
  <si>
    <t>November,10</t>
  </si>
  <si>
    <t>December,10</t>
  </si>
  <si>
    <t>January,11</t>
  </si>
  <si>
    <t>February,11</t>
  </si>
  <si>
    <t>March,11</t>
  </si>
  <si>
    <t>April,11</t>
  </si>
  <si>
    <t>January</t>
  </si>
  <si>
    <t>February</t>
  </si>
  <si>
    <t>March</t>
  </si>
  <si>
    <t>April</t>
  </si>
  <si>
    <t>May</t>
  </si>
  <si>
    <t>June</t>
  </si>
  <si>
    <t>July</t>
  </si>
  <si>
    <t>August</t>
  </si>
  <si>
    <t>September</t>
  </si>
  <si>
    <t>October</t>
  </si>
  <si>
    <t>November</t>
  </si>
  <si>
    <t>December</t>
  </si>
  <si>
    <t>08</t>
  </si>
  <si>
    <t>09</t>
  </si>
  <si>
    <t>10</t>
  </si>
  <si>
    <t>11</t>
  </si>
  <si>
    <t>07</t>
  </si>
  <si>
    <t>12</t>
  </si>
  <si>
    <t>01</t>
  </si>
  <si>
    <t>02</t>
  </si>
  <si>
    <t>03</t>
  </si>
  <si>
    <t>04</t>
  </si>
  <si>
    <t>05</t>
  </si>
  <si>
    <t>06</t>
  </si>
  <si>
    <t>2008</t>
  </si>
  <si>
    <t>2009</t>
  </si>
  <si>
    <t>2010</t>
  </si>
  <si>
    <t>2011</t>
  </si>
  <si>
    <t>UPS Sitharampoor</t>
  </si>
  <si>
    <t>UPS Sithrampoor</t>
  </si>
  <si>
    <t>Domakonda</t>
  </si>
  <si>
    <t>Inc 1</t>
  </si>
  <si>
    <t>Inc 2</t>
  </si>
  <si>
    <t>Name of the H.M/M.E.O/Dy.E.O &amp; Design</t>
  </si>
  <si>
    <t>Kamareddy</t>
  </si>
  <si>
    <t xml:space="preserve">No. </t>
  </si>
  <si>
    <t>Date:</t>
  </si>
  <si>
    <t>Sub:</t>
  </si>
  <si>
    <t>Ref:</t>
  </si>
  <si>
    <t>1. G.O.(P) No . 52 /Fin and Planning(FW:PC-1) Dept.,Dt. 25.02.2010</t>
  </si>
  <si>
    <t>3. G.O.Ms. No . 93 /Fin (PC-II) Dept.,Dt. 03.04.2010</t>
  </si>
  <si>
    <t>2. Govt. Circular Memo No. 33327-A/549/A1/PC-I/2009 dated: 13.03.2010</t>
  </si>
  <si>
    <t>4. Govt. Circular Memo No. 12254/133/PC-II/2010 dated: 30.08.2010</t>
  </si>
  <si>
    <t>5. Application of the Individual Concern.</t>
  </si>
  <si>
    <t>ORDER</t>
  </si>
  <si>
    <t>* * * * *</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</si>
  <si>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 Necessary entries are made in the Service Register of the Senior.</t>
  </si>
  <si>
    <t>Sri. G.Ambaiah, B.Sc, B.Ed.</t>
  </si>
  <si>
    <t>Copy to</t>
  </si>
  <si>
    <t>The Individual Concern.</t>
  </si>
  <si>
    <t>The ATO/ STO.</t>
  </si>
  <si>
    <t>S.No.</t>
  </si>
  <si>
    <t>Month</t>
  </si>
  <si>
    <t>B.Pay</t>
  </si>
  <si>
    <t xml:space="preserve">DA </t>
  </si>
  <si>
    <t>HRA</t>
  </si>
  <si>
    <t>Total</t>
  </si>
  <si>
    <t>5470-12385</t>
  </si>
  <si>
    <t>5750-13030</t>
  </si>
  <si>
    <t>7200-16925</t>
  </si>
  <si>
    <t>7385-17475</t>
  </si>
  <si>
    <t>9285-21550</t>
  </si>
  <si>
    <t>10285-24200</t>
  </si>
  <si>
    <t>10900-31550</t>
  </si>
  <si>
    <t>11530-33200</t>
  </si>
  <si>
    <t>14860-39540</t>
  </si>
  <si>
    <t>15280-40510</t>
  </si>
  <si>
    <t>18030-43630</t>
  </si>
  <si>
    <t>Yes</t>
  </si>
  <si>
    <t>No</t>
  </si>
  <si>
    <t>If Yes give the particulars below</t>
  </si>
  <si>
    <t>Are you (Senior) got 8/16/24 Years (SG/SPPI/SPPII) after 01.07.08</t>
  </si>
  <si>
    <t>on</t>
  </si>
  <si>
    <t>AAS</t>
  </si>
  <si>
    <t>Date of first Appointment</t>
  </si>
  <si>
    <t>Date of Reg. Time Scale awarded</t>
  </si>
  <si>
    <t>Basic Pay as on 01.07.2008</t>
  </si>
  <si>
    <t>Pay fixed in the RPS,2010</t>
  </si>
  <si>
    <t>Basic Pay as on Junior Increment Date</t>
  </si>
  <si>
    <t xml:space="preserve">Anomaly arised as on </t>
  </si>
  <si>
    <t>INC</t>
  </si>
  <si>
    <t>8/16/24</t>
  </si>
  <si>
    <t>01/07/08</t>
  </si>
  <si>
    <t>01/08/08</t>
  </si>
  <si>
    <t>01/09/08</t>
  </si>
  <si>
    <t>01/10/08</t>
  </si>
  <si>
    <t>01/11/08</t>
  </si>
  <si>
    <t>01/12/08</t>
  </si>
  <si>
    <t>01/01/09</t>
  </si>
  <si>
    <t>01/02/09</t>
  </si>
  <si>
    <t>01/03/09</t>
  </si>
  <si>
    <t>01/04/09</t>
  </si>
  <si>
    <t>01/05/09</t>
  </si>
  <si>
    <t>01/06/09</t>
  </si>
  <si>
    <t>01/07/09</t>
  </si>
  <si>
    <t>01/08/09</t>
  </si>
  <si>
    <t>01/09/09</t>
  </si>
  <si>
    <t>01/10/09</t>
  </si>
  <si>
    <t>01/11/09</t>
  </si>
  <si>
    <t>01/12/09</t>
  </si>
  <si>
    <t>01/01/10</t>
  </si>
  <si>
    <t>01/02/10</t>
  </si>
  <si>
    <t>01/03/10</t>
  </si>
  <si>
    <t>01/04/10</t>
  </si>
  <si>
    <t>01/05/10</t>
  </si>
  <si>
    <t>01/06/10</t>
  </si>
  <si>
    <t>01/07/10</t>
  </si>
  <si>
    <t>01/08/10</t>
  </si>
  <si>
    <t>01/09/10</t>
  </si>
  <si>
    <t>01/10/10</t>
  </si>
  <si>
    <t>01/11/10</t>
  </si>
  <si>
    <t>01/12/10</t>
  </si>
  <si>
    <t>01/01/11</t>
  </si>
  <si>
    <t>01/02/11</t>
  </si>
  <si>
    <t>01/03/11</t>
  </si>
  <si>
    <t>01/04/11</t>
  </si>
  <si>
    <t>01/05/11</t>
  </si>
  <si>
    <t>01/06/11</t>
  </si>
  <si>
    <t>01/07/11</t>
  </si>
  <si>
    <t>01/08/11</t>
  </si>
  <si>
    <t>3)</t>
  </si>
  <si>
    <t>Tobe Drawn</t>
  </si>
  <si>
    <t>Already Drawn</t>
  </si>
  <si>
    <t>Difference</t>
  </si>
  <si>
    <t>Creditted into GPF/ CSS</t>
  </si>
  <si>
    <t>Net Payable</t>
  </si>
  <si>
    <t>No Increment</t>
  </si>
  <si>
    <t>No Increment,2008</t>
  </si>
  <si>
    <t>No Increment,2009</t>
  </si>
  <si>
    <t>No Increment,2010</t>
  </si>
  <si>
    <t>No Increment,2011</t>
  </si>
  <si>
    <t>AGI 1</t>
  </si>
  <si>
    <t>AGI 2</t>
  </si>
  <si>
    <t>AGI 3</t>
  </si>
  <si>
    <t>Tobe</t>
  </si>
  <si>
    <t>Already</t>
  </si>
  <si>
    <t xml:space="preserve">Tobe </t>
  </si>
  <si>
    <t>Pay raised due to</t>
  </si>
  <si>
    <t>as on</t>
  </si>
  <si>
    <t>Pay raised to</t>
  </si>
  <si>
    <t>Next Annual Grade Increment on</t>
  </si>
  <si>
    <t>Next AGI</t>
  </si>
  <si>
    <t>Sri. Putta.Srinivas Reddy</t>
  </si>
  <si>
    <r>
      <t>According to the reference 1</t>
    </r>
    <r>
      <rPr>
        <b/>
        <vertAlign val="superscript"/>
        <sz val="11"/>
        <color indexed="8"/>
        <rFont val="Times New Roman"/>
        <family val="1"/>
      </rPr>
      <t>st</t>
    </r>
    <r>
      <rPr>
        <b/>
        <sz val="11"/>
        <color indexed="8"/>
        <rFont val="Times New Roman"/>
        <family val="1"/>
      </rPr>
      <t xml:space="preserve"> cited above the incumbent Sri. J.Madusudhan Reddy, SA(Maths) is allowed to step up on 01.06.2009 his pay with the junior monitory benefit allowed from 01.02.2010.</t>
    </r>
  </si>
  <si>
    <t>………………………………………………………………………………………………………….</t>
  </si>
  <si>
    <t>** Programme Developed By. PUTTA SRINIVAS REDDY (www.prtunzb.org) 98490 25860</t>
  </si>
  <si>
    <t>PARTICULARS OF BUDGET</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</si>
  <si>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</si>
  <si>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</si>
  <si>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</si>
  <si>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</si>
  <si>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</si>
  <si>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</si>
  <si>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</si>
  <si>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</si>
  <si>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</si>
  <si>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</si>
  <si>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</si>
  <si>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</si>
  <si>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</si>
  <si>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</si>
  <si>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</si>
  <si>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</si>
  <si>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</si>
  <si>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</si>
  <si>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</si>
  <si>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</si>
  <si>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</si>
  <si>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</si>
  <si>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</si>
  <si>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</si>
  <si>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</si>
  <si>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General Education</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</si>
  <si>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</si>
  <si>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</si>
  <si>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</si>
  <si>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</si>
  <si>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</si>
  <si>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</si>
  <si>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</si>
  <si>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</si>
  <si>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</si>
  <si>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</si>
  <si>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</si>
  <si>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</si>
  <si>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</si>
  <si>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</si>
  <si>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</si>
  <si>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</si>
  <si>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</si>
  <si>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</si>
  <si>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</si>
  <si>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</si>
  <si>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</si>
  <si>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</si>
  <si>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</si>
  <si>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</si>
  <si>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</si>
  <si>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</si>
  <si>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</si>
  <si>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</si>
  <si>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</si>
  <si>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</si>
  <si>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</si>
  <si>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</si>
  <si>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</si>
  <si>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</si>
  <si>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</si>
  <si>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</si>
  <si>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</si>
  <si>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</si>
  <si>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</si>
  <si>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</si>
  <si>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</si>
  <si>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</si>
  <si>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</si>
  <si>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</si>
  <si>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</si>
  <si>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</si>
  <si>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017      I.R.</t>
  </si>
  <si>
    <t>C.S.S</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</si>
  <si>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</si>
  <si>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</si>
  <si>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</si>
  <si>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</si>
  <si>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</si>
  <si>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</si>
  <si>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</si>
  <si>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</si>
  <si>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</si>
  <si>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</si>
  <si>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</si>
  <si>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</si>
  <si>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</si>
  <si>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</si>
  <si>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</si>
  <si>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</si>
  <si>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</si>
  <si>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</si>
  <si>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</si>
  <si>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</si>
  <si>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</si>
  <si>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</si>
  <si>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s</t>
  </si>
  <si>
    <t>p</t>
  </si>
  <si>
    <t>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</si>
  <si>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</si>
  <si>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</si>
  <si>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</si>
  <si>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</si>
  <si>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</si>
  <si>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</si>
  <si>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</si>
  <si>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</si>
  <si>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</si>
  <si>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</si>
  <si>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</si>
  <si>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</si>
  <si>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</si>
  <si>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</si>
  <si>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</si>
  <si>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</si>
  <si>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</si>
  <si>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</si>
  <si>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</si>
  <si>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</si>
  <si>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</si>
  <si>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</si>
  <si>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</si>
  <si>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</si>
  <si>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</si>
  <si>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</si>
  <si>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</si>
  <si>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</si>
  <si>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</si>
  <si>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</si>
  <si>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</si>
  <si>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</si>
  <si>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</si>
  <si>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</si>
  <si>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</si>
  <si>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</si>
  <si>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</si>
  <si>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</si>
  <si>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</si>
  <si>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</si>
  <si>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</si>
  <si>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</si>
  <si>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</si>
  <si>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</si>
  <si>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</si>
  <si>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</si>
  <si>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</si>
  <si>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</si>
  <si>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</si>
  <si>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</si>
  <si>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</si>
  <si>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</si>
  <si>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</si>
  <si>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</si>
  <si>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</si>
  <si>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</si>
  <si>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</si>
  <si>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</si>
  <si>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</si>
  <si>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</si>
  <si>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</si>
  <si>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</si>
  <si>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</si>
  <si>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</si>
  <si>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</si>
  <si>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</si>
  <si>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</si>
  <si>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</si>
  <si>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</si>
  <si>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</si>
  <si>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</si>
  <si>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</si>
  <si>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</si>
  <si>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</si>
  <si>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</si>
  <si>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</si>
  <si>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</si>
  <si>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</si>
  <si>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</si>
  <si>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</si>
  <si>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</si>
  <si>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</si>
  <si>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</si>
  <si>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</si>
  <si>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</si>
  <si>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</si>
  <si>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</si>
  <si>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</si>
  <si>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</si>
  <si>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</si>
  <si>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</si>
  <si>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</si>
  <si>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</si>
  <si>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</si>
  <si>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</si>
  <si>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</si>
  <si>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</si>
  <si>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</si>
  <si>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</si>
  <si>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1) Proceeding copy</t>
  </si>
  <si>
    <t>Nizamabad</t>
  </si>
  <si>
    <t>HOA</t>
  </si>
  <si>
    <t>Non of the Above</t>
  </si>
  <si>
    <t>Head of Account</t>
  </si>
  <si>
    <t xml:space="preserve">DDO Code </t>
  </si>
  <si>
    <t>2008-0308-007</t>
  </si>
  <si>
    <t>District</t>
  </si>
  <si>
    <t>SBH Kamareddy</t>
  </si>
  <si>
    <t>Increment Dates after 01.07.2008</t>
  </si>
  <si>
    <t>Treasury Link Bank Name</t>
  </si>
  <si>
    <t>GPF Type</t>
  </si>
  <si>
    <t>Account No.</t>
  </si>
  <si>
    <t>AG GPF</t>
  </si>
  <si>
    <t>ZP GPF</t>
  </si>
  <si>
    <t xml:space="preserve"> PF Account No.</t>
  </si>
  <si>
    <t>Now HRA @ %</t>
  </si>
  <si>
    <t>APTC FORM  101</t>
  </si>
  <si>
    <t>( See Subsidiary Rule 2 ( W) Under Treasury Rule 15 ;</t>
  </si>
  <si>
    <t>Govt. Memo No. 38907 / Accounts / 65-5 . Dt. : 21-02-1963 )</t>
  </si>
  <si>
    <t>DDO Code</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</si>
  <si>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</si>
  <si>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</si>
  <si>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</si>
  <si>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</si>
  <si>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</si>
  <si>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</si>
  <si>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</si>
  <si>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</si>
  <si>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</si>
  <si>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</si>
  <si>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</si>
  <si>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</si>
  <si>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</si>
  <si>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</si>
  <si>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</si>
  <si>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</si>
  <si>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r>
      <t xml:space="preserve">Signature of the </t>
    </r>
    <r>
      <rPr>
        <sz val="10"/>
        <rFont val="Arial"/>
        <family val="2"/>
      </rPr>
      <t>DDO</t>
    </r>
    <r>
      <rPr>
        <sz val="10"/>
        <rFont val="Times New Roman"/>
        <family val="0"/>
      </rPr>
      <t xml:space="preserve"> / </t>
    </r>
    <r>
      <rPr>
        <sz val="10"/>
        <rFont val="Arial"/>
        <family val="2"/>
      </rPr>
      <t>DDO Seal</t>
    </r>
  </si>
  <si>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</si>
  <si>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</si>
  <si>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</si>
  <si>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</si>
  <si>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</si>
  <si>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</si>
  <si>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</si>
  <si>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</si>
  <si>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</si>
  <si>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</si>
  <si>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</si>
  <si>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</si>
  <si>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</si>
  <si>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</si>
  <si>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</si>
  <si>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</si>
  <si>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</si>
  <si>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</si>
  <si>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</si>
  <si>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</si>
  <si>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</si>
  <si>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S.No</t>
  </si>
  <si>
    <t>Name of the Employee</t>
  </si>
  <si>
    <t>Account Number</t>
  </si>
  <si>
    <t>……………………………...…………………. Cut here ………………………………………….……………….</t>
  </si>
  <si>
    <t>ANEXURE-II</t>
  </si>
  <si>
    <t>Name of the Bank</t>
  </si>
  <si>
    <t>Purpose of bill</t>
  </si>
  <si>
    <t>Name of the Employee &amp; Designation</t>
  </si>
  <si>
    <t>Emp. Id</t>
  </si>
  <si>
    <t>SBH Kama Reddy</t>
  </si>
  <si>
    <t>February,2010</t>
  </si>
  <si>
    <t xml:space="preserve"> </t>
  </si>
  <si>
    <t>Emp.Bank A/c No.</t>
  </si>
  <si>
    <t>Bank Name</t>
  </si>
  <si>
    <t>123 456 789 10</t>
  </si>
  <si>
    <t>Employee ID No.</t>
  </si>
  <si>
    <t>Employee Id No.</t>
  </si>
  <si>
    <t>Non Drawl Certificate:</t>
  </si>
  <si>
    <t>The claims in this bill are not claimed  previously and</t>
  </si>
  <si>
    <t xml:space="preserve"> the same as entered in concerned pay bill register to </t>
  </si>
  <si>
    <t>to avoid double claim infuture.</t>
  </si>
  <si>
    <t>Sri. P.Srinivas Reddy</t>
  </si>
  <si>
    <r>
      <t xml:space="preserve">Regularly Visit </t>
    </r>
    <r>
      <rPr>
        <b/>
        <u val="single"/>
        <sz val="20"/>
        <color indexed="12"/>
        <rFont val="Lucida Bright"/>
        <family val="1"/>
      </rPr>
      <t>www.prtunzb.org</t>
    </r>
    <r>
      <rPr>
        <b/>
        <sz val="16"/>
        <rFont val="Lucida Bright"/>
        <family val="1"/>
      </rPr>
      <t xml:space="preserve"> for Teacher Usefull Programmes and G.Os </t>
    </r>
  </si>
  <si>
    <t>2202 - 01 - 103 - 05 - 010</t>
  </si>
  <si>
    <t>2202 -02 - 191 -05 - 010</t>
  </si>
  <si>
    <t>2202 - 01 - 101 - 04 - 010</t>
  </si>
  <si>
    <t>2202 - 02 - 109 - 04 - 010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</si>
</sst>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
    <numFmt numFmtId="172" formatCode="_([$€-2]* #,##0.00_);_([$€-2]* \(#,##0.00\);_([$€-2]* &quot;-&quot;??_)"/>
  </numFmts>
  <fonts count="103">
    <font>
      <sz val="11"/>
      <color theme="1"/>
      <name val="Calibri"/>
      <family val="2"/>
    </font>
    <font>
      <sz val="11"/>
      <color indexed="8"/>
      <name val="Calibri"/>
      <family val="2"/>
    </font>
    <font>
      <sz val="8"/>
      <name val="Calibri"/>
      <family val="2"/>
    </font>
    <font>
      <b/>
      <sz val="11"/>
      <name val="Lucida Bright"/>
      <family val="1"/>
    </font>
    <font>
      <b/>
      <sz val="12"/>
      <name val="Lucida Bright"/>
      <family val="1"/>
    </font>
    <font>
      <b/>
      <sz val="10"/>
      <name val="Lucida Bright"/>
      <family val="1"/>
    </font>
    <font>
      <u val="single"/>
      <sz val="11"/>
      <color indexed="12"/>
      <name val="Calibri"/>
      <family val="2"/>
    </font>
    <font>
      <b/>
      <sz val="32"/>
      <color indexed="12"/>
      <name val="Bookman Old Style"/>
      <family val="1"/>
    </font>
    <font>
      <u val="single"/>
      <sz val="12.65"/>
      <color indexed="36"/>
      <name val="Calibri"/>
      <family val="2"/>
    </font>
    <font>
      <b/>
      <sz val="14"/>
      <name val="Lucida Bright"/>
      <family val="1"/>
    </font>
    <font>
      <b/>
      <sz val="8"/>
      <name val="Lucida Bright"/>
      <family val="1"/>
    </font>
    <font>
      <b/>
      <sz val="10"/>
      <name val="Palatino Linotype"/>
      <family val="1"/>
    </font>
    <font>
      <b/>
      <sz val="10"/>
      <color indexed="10"/>
      <name val="Palatino Linotype"/>
      <family val="1"/>
    </font>
    <font>
      <b/>
      <sz val="10"/>
      <name val="Arial"/>
      <family val="2"/>
    </font>
    <font>
      <b/>
      <sz val="10"/>
      <name val="Times New Roman"/>
      <family val="1"/>
    </font>
    <font>
      <sz val="12"/>
      <name val="Times New Roman"/>
      <family val="1"/>
    </font>
    <font>
      <sz val="12"/>
      <color indexed="8"/>
      <name val="Calibri"/>
      <family val="2"/>
    </font>
    <font>
      <b/>
      <sz val="16"/>
      <name val="Lucida Bright"/>
      <family val="1"/>
    </font>
    <font>
      <b/>
      <sz val="12"/>
      <name val="Calibri"/>
      <family val="2"/>
    </font>
    <font>
      <b/>
      <sz val="10"/>
      <color indexed="9"/>
      <name val="Bookman Old Style"/>
      <family val="1"/>
    </font>
    <font>
      <b/>
      <sz val="10"/>
      <name val="Bookman Old Style"/>
      <family val="1"/>
    </font>
    <font>
      <b/>
      <sz val="14"/>
      <color indexed="17"/>
      <name val="Bookman Old Style"/>
      <family val="1"/>
    </font>
    <font>
      <b/>
      <sz val="9"/>
      <name val="Bookman Old Style"/>
      <family val="1"/>
    </font>
    <font>
      <b/>
      <sz val="14"/>
      <name val="Bookman Old Style"/>
      <family val="1"/>
    </font>
    <font>
      <b/>
      <sz val="10"/>
      <color indexed="10"/>
      <name val="Bookman Old Style"/>
      <family val="1"/>
    </font>
    <font>
      <sz val="16"/>
      <color indexed="8"/>
      <name val="Times New Roman"/>
      <family val="1"/>
    </font>
    <font>
      <sz val="14"/>
      <color indexed="8"/>
      <name val="Times New Roman"/>
      <family val="1"/>
    </font>
    <font>
      <sz val="12"/>
      <color indexed="8"/>
      <name val="Times New Roman"/>
      <family val="1"/>
    </font>
    <font>
      <u val="single"/>
      <sz val="12"/>
      <color indexed="8"/>
      <name val="Times New Roman"/>
      <family val="1"/>
    </font>
    <font>
      <b/>
      <sz val="11"/>
      <color indexed="8"/>
      <name val="Times New Roman"/>
      <family val="1"/>
    </font>
    <font>
      <b/>
      <vertAlign val="superscript"/>
      <sz val="11"/>
      <color indexed="8"/>
      <name val="Times New Roman"/>
      <family val="1"/>
    </font>
    <font>
      <b/>
      <sz val="11"/>
      <color indexed="8"/>
      <name val="Plantagenet Cherokee"/>
      <family val="1"/>
    </font>
    <font>
      <sz val="14"/>
      <name val="Bookman Old Style"/>
      <family val="1"/>
    </font>
    <font>
      <sz val="10"/>
      <name val="Bookman Old Style"/>
      <family val="1"/>
    </font>
    <font>
      <sz val="11"/>
      <name val="Georgia"/>
      <family val="1"/>
    </font>
    <font>
      <sz val="11"/>
      <name val="Bookman Old Style"/>
      <family val="1"/>
    </font>
    <font>
      <sz val="12"/>
      <name val="Bookman Old Style"/>
      <family val="1"/>
    </font>
    <font>
      <sz val="16"/>
      <name val="Bookman Old Style"/>
      <family val="1"/>
    </font>
    <font>
      <sz val="9"/>
      <name val="Bookman Old Style"/>
      <family val="1"/>
    </font>
    <font>
      <sz val="10"/>
      <name val="Times New Roman"/>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0"/>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1"/>
      <color indexed="8"/>
      <name val="Times New Roman"/>
      <family val="1"/>
    </font>
    <font>
      <sz val="11"/>
      <name val="Calibri"/>
      <family val="2"/>
    </font>
    <font>
      <b/>
      <u val="single"/>
      <sz val="22"/>
      <color indexed="10"/>
      <name val="Calibri"/>
      <family val="2"/>
    </font>
    <font>
      <sz val="14"/>
      <name val="Arial"/>
      <family val="2"/>
    </font>
    <font>
      <sz val="12"/>
      <name val="Arial"/>
      <family val="2"/>
    </font>
    <font>
      <sz val="11"/>
      <name val="Arial"/>
      <family val="2"/>
    </font>
    <font>
      <sz val="14"/>
      <name val="Times New Roman"/>
      <family val="1"/>
    </font>
    <font>
      <sz val="11"/>
      <name val="Times New Roman"/>
      <family val="1"/>
    </font>
    <font>
      <u val="single"/>
      <sz val="12"/>
      <name val="Bookman Old Style"/>
      <family val="1"/>
    </font>
    <font>
      <b/>
      <sz val="12"/>
      <name val="Bookman Old Style"/>
      <family val="1"/>
    </font>
    <font>
      <b/>
      <sz val="14"/>
      <name val="Calibri"/>
      <family val="2"/>
    </font>
    <font>
      <b/>
      <u val="single"/>
      <sz val="12"/>
      <color indexed="8"/>
      <name val="Calibri"/>
      <family val="2"/>
    </font>
    <font>
      <sz val="14"/>
      <color indexed="8"/>
      <name val="Calibri"/>
      <family val="2"/>
    </font>
    <font>
      <b/>
      <u val="single"/>
      <sz val="20"/>
      <color indexed="12"/>
      <name val="Lucida Bright"/>
      <family val="1"/>
    </font>
    <font>
      <b/>
      <sz val="16"/>
      <color indexed="9"/>
      <name val="Imprint MT Shadow"/>
      <family val="5"/>
    </font>
    <font>
      <b/>
      <sz val="14"/>
      <color indexed="9"/>
      <name val="Imprint MT Shadow"/>
      <family val="5"/>
    </font>
    <font>
      <b/>
      <sz val="14"/>
      <color indexed="9"/>
      <name val="Lucida Sans Typewriter"/>
      <family val="3"/>
    </font>
    <font>
      <b/>
      <u val="single"/>
      <sz val="18"/>
      <color indexed="9"/>
      <name val="Imprint MT Shadow"/>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46" fillId="0" borderId="0">
      <alignment/>
      <protection/>
    </xf>
    <xf numFmtId="0" fontId="1" fillId="32" borderId="7" applyNumberFormat="0" applyFont="0" applyAlignment="0" applyProtection="0"/>
    <xf numFmtId="0" fontId="99" fillId="27" borderId="8" applyNumberFormat="0" applyAlignment="0" applyProtection="0"/>
    <xf numFmtId="9" fontId="1"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67">
    <xf numFmtId="0" fontId="0" fillId="0" borderId="0" xfId="0" applyFont="1" applyAlignment="1">
      <alignment/>
    </xf>
    <xf numFmtId="0" fontId="15" fillId="0" borderId="0" xfId="0" applyFont="1" applyAlignment="1">
      <alignment vertical="center" wrapText="1"/>
    </xf>
    <xf numFmtId="0" fontId="25" fillId="0" borderId="0" xfId="0" applyFont="1" applyAlignment="1">
      <alignment vertical="center"/>
    </xf>
    <xf numFmtId="0" fontId="5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right" vertical="center" wrapText="1"/>
    </xf>
    <xf numFmtId="0" fontId="27" fillId="0" borderId="0" xfId="0" applyFont="1" applyAlignment="1">
      <alignment vertical="center" wrapText="1"/>
    </xf>
    <xf numFmtId="0" fontId="27" fillId="0" borderId="0" xfId="0" applyFont="1" applyAlignment="1">
      <alignment horizontal="right" vertical="center"/>
    </xf>
    <xf numFmtId="0" fontId="15" fillId="0" borderId="0" xfId="0" applyFont="1" applyAlignment="1">
      <alignment vertical="center"/>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Border="1" applyAlignment="1">
      <alignment horizontal="left" vertical="center"/>
    </xf>
    <xf numFmtId="0" fontId="28"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xf>
    <xf numFmtId="0" fontId="35" fillId="0" borderId="0" xfId="0" applyFont="1" applyAlignment="1">
      <alignment/>
    </xf>
    <xf numFmtId="170" fontId="33" fillId="0" borderId="0" xfId="0" applyNumberFormat="1" applyFont="1" applyAlignment="1">
      <alignment/>
    </xf>
    <xf numFmtId="0" fontId="33" fillId="0" borderId="13" xfId="0" applyFont="1" applyBorder="1" applyAlignment="1">
      <alignment vertical="center"/>
    </xf>
    <xf numFmtId="0" fontId="33" fillId="0" borderId="14" xfId="0" applyFont="1" applyBorder="1" applyAlignment="1">
      <alignment vertical="center"/>
    </xf>
    <xf numFmtId="49" fontId="33" fillId="0" borderId="14" xfId="0" applyNumberFormat="1" applyFont="1" applyBorder="1" applyAlignment="1">
      <alignment vertical="center"/>
    </xf>
    <xf numFmtId="17" fontId="33" fillId="0" borderId="15" xfId="0" applyNumberFormat="1" applyFont="1" applyBorder="1" applyAlignment="1">
      <alignment vertical="center"/>
    </xf>
    <xf numFmtId="0" fontId="33" fillId="0" borderId="16" xfId="0" applyFont="1" applyBorder="1" applyAlignment="1">
      <alignment horizontal="right" vertical="center"/>
    </xf>
    <xf numFmtId="0" fontId="33" fillId="0" borderId="17" xfId="0" applyFont="1" applyBorder="1" applyAlignment="1">
      <alignment vertical="center"/>
    </xf>
    <xf numFmtId="0" fontId="33" fillId="0" borderId="18" xfId="0" applyFont="1" applyBorder="1" applyAlignment="1">
      <alignment vertical="center"/>
    </xf>
    <xf numFmtId="0" fontId="39" fillId="0" borderId="19" xfId="0" applyFont="1" applyBorder="1" applyAlignment="1">
      <alignment horizontal="center"/>
    </xf>
    <xf numFmtId="0" fontId="38" fillId="0" borderId="20" xfId="0" applyFont="1" applyBorder="1" applyAlignment="1">
      <alignment horizontal="center"/>
    </xf>
    <xf numFmtId="0" fontId="33" fillId="0" borderId="0" xfId="0" applyFont="1" applyBorder="1" applyAlignment="1">
      <alignment/>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23" xfId="0" applyFont="1" applyBorder="1" applyAlignment="1">
      <alignment horizontal="right" vertical="center"/>
    </xf>
    <xf numFmtId="0" fontId="33" fillId="0" borderId="20" xfId="0" applyFont="1" applyBorder="1" applyAlignment="1">
      <alignment/>
    </xf>
    <xf numFmtId="0" fontId="33" fillId="0" borderId="0" xfId="0" applyFont="1" applyBorder="1" applyAlignment="1">
      <alignment vertical="center" shrinkToFit="1"/>
    </xf>
    <xf numFmtId="0" fontId="33" fillId="0" borderId="0" xfId="0" applyFont="1" applyAlignment="1">
      <alignment horizontal="right" vertical="center"/>
    </xf>
    <xf numFmtId="40" fontId="33" fillId="0" borderId="0" xfId="0" applyNumberFormat="1" applyFont="1" applyAlignment="1">
      <alignment vertical="center"/>
    </xf>
    <xf numFmtId="49" fontId="33" fillId="0" borderId="0" xfId="0" applyNumberFormat="1" applyFont="1" applyAlignment="1">
      <alignment vertical="center"/>
    </xf>
    <xf numFmtId="0" fontId="33" fillId="0" borderId="0" xfId="0" applyFont="1" applyAlignment="1">
      <alignment horizontal="left" vertical="center"/>
    </xf>
    <xf numFmtId="0" fontId="33" fillId="0" borderId="0" xfId="0" applyFont="1" applyFill="1" applyBorder="1" applyAlignment="1">
      <alignment/>
    </xf>
    <xf numFmtId="0" fontId="33" fillId="0" borderId="24" xfId="0" applyFont="1" applyBorder="1" applyAlignment="1">
      <alignment/>
    </xf>
    <xf numFmtId="0" fontId="33" fillId="0" borderId="25" xfId="0" applyFont="1" applyBorder="1" applyAlignment="1">
      <alignment/>
    </xf>
    <xf numFmtId="0" fontId="36" fillId="0" borderId="0" xfId="0" applyFont="1" applyAlignment="1">
      <alignment/>
    </xf>
    <xf numFmtId="0" fontId="38" fillId="0" borderId="10" xfId="0" applyFont="1" applyBorder="1" applyAlignment="1">
      <alignment horizontal="center"/>
    </xf>
    <xf numFmtId="0" fontId="39" fillId="0" borderId="20" xfId="0" applyFont="1" applyBorder="1" applyAlignment="1">
      <alignment/>
    </xf>
    <xf numFmtId="0" fontId="33" fillId="0" borderId="26" xfId="0" applyFont="1" applyBorder="1" applyAlignment="1">
      <alignment/>
    </xf>
    <xf numFmtId="2" fontId="33" fillId="0" borderId="20" xfId="0" applyNumberFormat="1" applyFont="1" applyBorder="1" applyAlignment="1">
      <alignment/>
    </xf>
    <xf numFmtId="0" fontId="33" fillId="0" borderId="14" xfId="0" applyFont="1" applyBorder="1" applyAlignment="1">
      <alignment/>
    </xf>
    <xf numFmtId="0" fontId="42" fillId="0" borderId="10" xfId="0" applyFont="1" applyBorder="1" applyAlignment="1">
      <alignment horizontal="center"/>
    </xf>
    <xf numFmtId="0" fontId="43" fillId="0" borderId="0" xfId="0" applyFont="1" applyAlignment="1">
      <alignment/>
    </xf>
    <xf numFmtId="2" fontId="33" fillId="0" borderId="0" xfId="0" applyNumberFormat="1" applyFont="1" applyBorder="1" applyAlignment="1">
      <alignment/>
    </xf>
    <xf numFmtId="0" fontId="32" fillId="0" borderId="0" xfId="0" applyFont="1" applyAlignment="1">
      <alignment/>
    </xf>
    <xf numFmtId="2" fontId="33" fillId="0" borderId="14" xfId="0" applyNumberFormat="1" applyFont="1" applyBorder="1" applyAlignment="1">
      <alignment/>
    </xf>
    <xf numFmtId="0" fontId="38" fillId="0" borderId="10" xfId="0" applyFont="1" applyBorder="1" applyAlignment="1">
      <alignment horizontal="center" vertical="center"/>
    </xf>
    <xf numFmtId="0" fontId="41" fillId="0" borderId="0" xfId="0" applyFont="1" applyBorder="1" applyAlignment="1">
      <alignment vertical="center" wrapText="1"/>
    </xf>
    <xf numFmtId="0" fontId="45" fillId="0" borderId="0" xfId="0" applyFont="1" applyAlignment="1">
      <alignment/>
    </xf>
    <xf numFmtId="0" fontId="38" fillId="0" borderId="0" xfId="0" applyFont="1" applyAlignment="1">
      <alignment/>
    </xf>
    <xf numFmtId="0" fontId="33" fillId="0" borderId="0" xfId="0" applyFont="1" applyAlignment="1">
      <alignment/>
    </xf>
    <xf numFmtId="0" fontId="33" fillId="0" borderId="0" xfId="0" applyFont="1" applyBorder="1" applyAlignment="1">
      <alignment vertical="center" readingOrder="1"/>
    </xf>
    <xf numFmtId="0" fontId="33" fillId="0" borderId="0" xfId="0" applyFont="1" applyAlignment="1">
      <alignment horizontal="left"/>
    </xf>
    <xf numFmtId="0" fontId="43" fillId="0" borderId="0" xfId="0" applyFont="1" applyAlignment="1">
      <alignment vertical="top" wrapText="1"/>
    </xf>
    <xf numFmtId="0" fontId="41" fillId="0" borderId="10" xfId="0" applyFont="1" applyBorder="1" applyAlignment="1">
      <alignment horizontal="center"/>
    </xf>
    <xf numFmtId="0" fontId="45" fillId="0" borderId="0" xfId="0" applyFont="1" applyBorder="1" applyAlignment="1">
      <alignment/>
    </xf>
    <xf numFmtId="0" fontId="38" fillId="0" borderId="0" xfId="0" applyFont="1" applyBorder="1" applyAlignment="1">
      <alignment/>
    </xf>
    <xf numFmtId="0" fontId="38" fillId="0" borderId="13" xfId="0" applyFont="1" applyBorder="1" applyAlignment="1">
      <alignment horizontal="center"/>
    </xf>
    <xf numFmtId="0" fontId="38" fillId="0" borderId="26" xfId="0" applyFont="1" applyBorder="1" applyAlignment="1">
      <alignment horizontal="center"/>
    </xf>
    <xf numFmtId="0" fontId="33" fillId="0" borderId="0" xfId="0" applyFont="1" applyBorder="1" applyAlignment="1">
      <alignment horizontal="right" vertical="center"/>
    </xf>
    <xf numFmtId="0" fontId="33" fillId="0" borderId="0" xfId="0" applyFont="1" applyAlignment="1">
      <alignment horizontal="centerContinuous" vertical="center"/>
    </xf>
    <xf numFmtId="2" fontId="33" fillId="0" borderId="0" xfId="0" applyNumberFormat="1" applyFont="1" applyAlignment="1">
      <alignment/>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8" fillId="0" borderId="0" xfId="0" applyFont="1" applyAlignment="1">
      <alignment/>
    </xf>
    <xf numFmtId="0" fontId="33" fillId="0" borderId="27" xfId="0" applyFont="1" applyBorder="1" applyAlignment="1">
      <alignment/>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textRotation="90" wrapText="1"/>
    </xf>
    <xf numFmtId="0" fontId="41" fillId="0" borderId="0" xfId="0" applyFont="1" applyBorder="1" applyAlignment="1">
      <alignment horizontal="center"/>
    </xf>
    <xf numFmtId="0" fontId="33" fillId="0" borderId="0" xfId="0" applyFont="1" applyBorder="1" applyAlignment="1">
      <alignment horizontal="center"/>
    </xf>
    <xf numFmtId="0" fontId="35" fillId="0" borderId="0" xfId="0" applyFont="1" applyAlignment="1">
      <alignment vertical="center"/>
    </xf>
    <xf numFmtId="0" fontId="33" fillId="0" borderId="0" xfId="0" applyFont="1" applyAlignment="1">
      <alignment vertical="center"/>
    </xf>
    <xf numFmtId="0" fontId="56" fillId="0" borderId="0" xfId="0" applyFont="1" applyBorder="1" applyAlignment="1">
      <alignment vertical="center"/>
    </xf>
    <xf numFmtId="0" fontId="46" fillId="0" borderId="0" xfId="0" applyFont="1" applyBorder="1" applyAlignment="1">
      <alignment vertical="center"/>
    </xf>
    <xf numFmtId="0" fontId="56" fillId="0" borderId="0" xfId="0" applyFont="1" applyBorder="1" applyAlignment="1">
      <alignment horizontal="center" vertical="center"/>
    </xf>
    <xf numFmtId="0" fontId="42" fillId="0" borderId="0" xfId="0" applyFont="1" applyAlignment="1">
      <alignment vertical="center"/>
    </xf>
    <xf numFmtId="0" fontId="39" fillId="0" borderId="0" xfId="0" applyFont="1" applyAlignment="1">
      <alignment vertical="center"/>
    </xf>
    <xf numFmtId="0" fontId="42"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wrapText="1"/>
    </xf>
    <xf numFmtId="0" fontId="55" fillId="0" borderId="0" xfId="0" applyFont="1" applyAlignment="1">
      <alignment vertical="center"/>
    </xf>
    <xf numFmtId="0" fontId="36" fillId="0" borderId="0" xfId="0" applyFont="1" applyAlignment="1">
      <alignment vertical="center"/>
    </xf>
    <xf numFmtId="0" fontId="33" fillId="0" borderId="22" xfId="0" applyFont="1" applyBorder="1" applyAlignment="1">
      <alignment vertical="center"/>
    </xf>
    <xf numFmtId="0" fontId="33" fillId="0" borderId="16" xfId="0" applyFont="1" applyBorder="1" applyAlignment="1">
      <alignment vertical="center"/>
    </xf>
    <xf numFmtId="0" fontId="33" fillId="0" borderId="10" xfId="0" applyFont="1" applyBorder="1" applyAlignment="1">
      <alignment horizontal="center" vertical="center"/>
    </xf>
    <xf numFmtId="0" fontId="33" fillId="0" borderId="0" xfId="0" applyFont="1" applyBorder="1" applyAlignment="1">
      <alignment horizontal="lef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28" xfId="0" applyFont="1" applyBorder="1" applyAlignment="1">
      <alignment vertical="center"/>
    </xf>
    <xf numFmtId="0" fontId="33" fillId="0" borderId="21" xfId="0" applyFont="1" applyBorder="1" applyAlignment="1">
      <alignment vertical="center"/>
    </xf>
    <xf numFmtId="0" fontId="33" fillId="0" borderId="23" xfId="0" applyFont="1" applyBorder="1" applyAlignment="1">
      <alignment vertical="center"/>
    </xf>
    <xf numFmtId="0" fontId="59" fillId="0" borderId="0" xfId="0" applyFont="1" applyAlignment="1">
      <alignment vertical="center"/>
    </xf>
    <xf numFmtId="0" fontId="33" fillId="0" borderId="10" xfId="0" applyFont="1" applyBorder="1" applyAlignment="1">
      <alignment vertical="center"/>
    </xf>
    <xf numFmtId="0" fontId="32" fillId="0" borderId="10" xfId="0" applyFont="1" applyBorder="1" applyAlignment="1">
      <alignment horizontal="center" vertical="center"/>
    </xf>
    <xf numFmtId="0" fontId="33" fillId="0" borderId="10" xfId="0" applyFont="1" applyBorder="1" applyAlignment="1">
      <alignment vertical="center" wrapText="1"/>
    </xf>
    <xf numFmtId="1" fontId="36" fillId="0" borderId="27" xfId="0" applyNumberFormat="1" applyFont="1" applyBorder="1" applyAlignment="1">
      <alignment vertical="center" wrapText="1"/>
    </xf>
    <xf numFmtId="1" fontId="36" fillId="0" borderId="20" xfId="0" applyNumberFormat="1" applyFont="1" applyBorder="1" applyAlignment="1">
      <alignment vertical="center" wrapText="1"/>
    </xf>
    <xf numFmtId="0" fontId="36" fillId="0" borderId="20" xfId="0" applyFont="1" applyBorder="1" applyAlignment="1">
      <alignment vertical="center" wrapText="1"/>
    </xf>
    <xf numFmtId="0" fontId="36" fillId="0" borderId="29" xfId="0" applyFont="1" applyBorder="1" applyAlignment="1">
      <alignment vertical="center" wrapText="1"/>
    </xf>
    <xf numFmtId="0" fontId="33" fillId="0" borderId="0" xfId="0" applyFont="1" applyAlignment="1">
      <alignment horizontal="center" vertical="center" shrinkToFit="1"/>
    </xf>
    <xf numFmtId="0" fontId="18" fillId="33" borderId="22" xfId="54"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Alignment="1" applyProtection="1">
      <alignment vertical="center"/>
      <protection/>
    </xf>
    <xf numFmtId="0" fontId="4" fillId="35" borderId="30" xfId="0" applyFont="1" applyFill="1" applyBorder="1" applyAlignment="1" applyProtection="1">
      <alignment vertical="center"/>
      <protection/>
    </xf>
    <xf numFmtId="0" fontId="4" fillId="33" borderId="31"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5" borderId="32"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6" borderId="33" xfId="0" applyFont="1" applyFill="1" applyBorder="1" applyAlignment="1" applyProtection="1">
      <alignment horizontal="center" vertical="center"/>
      <protection/>
    </xf>
    <xf numFmtId="0" fontId="4" fillId="36" borderId="30" xfId="0" applyFont="1" applyFill="1" applyBorder="1" applyAlignment="1" applyProtection="1">
      <alignment horizontal="center" vertical="center"/>
      <protection/>
    </xf>
    <xf numFmtId="0" fontId="4" fillId="35" borderId="34" xfId="0" applyFont="1" applyFill="1" applyBorder="1" applyAlignment="1" applyProtection="1">
      <alignment vertical="center"/>
      <protection/>
    </xf>
    <xf numFmtId="0" fontId="4" fillId="33" borderId="18" xfId="0" applyFont="1" applyFill="1" applyBorder="1" applyAlignment="1" applyProtection="1">
      <alignment horizontal="left" vertical="center" indent="2"/>
      <protection/>
    </xf>
    <xf numFmtId="0" fontId="4" fillId="33" borderId="28" xfId="0" applyFont="1" applyFill="1" applyBorder="1" applyAlignment="1" applyProtection="1">
      <alignment horizontal="left" vertical="center" indent="2"/>
      <protection/>
    </xf>
    <xf numFmtId="0" fontId="4" fillId="33" borderId="23" xfId="0" applyFont="1" applyFill="1" applyBorder="1" applyAlignment="1" applyProtection="1">
      <alignment horizontal="left" vertical="center" indent="2"/>
      <protection/>
    </xf>
    <xf numFmtId="0" fontId="4" fillId="35" borderId="32" xfId="0" applyFont="1" applyFill="1" applyBorder="1" applyAlignment="1" applyProtection="1">
      <alignment vertical="center"/>
      <protection/>
    </xf>
    <xf numFmtId="0" fontId="18" fillId="37" borderId="34" xfId="0" applyFont="1" applyFill="1" applyBorder="1" applyAlignment="1" applyProtection="1">
      <alignment vertical="center"/>
      <protection/>
    </xf>
    <xf numFmtId="0" fontId="3" fillId="37" borderId="30" xfId="0" applyFont="1" applyFill="1" applyBorder="1" applyAlignment="1" applyProtection="1">
      <alignment vertical="center"/>
      <protection/>
    </xf>
    <xf numFmtId="0" fontId="3" fillId="37" borderId="35" xfId="0" applyFont="1" applyFill="1" applyBorder="1" applyAlignment="1" applyProtection="1">
      <alignment horizontal="left" vertical="center"/>
      <protection/>
    </xf>
    <xf numFmtId="0" fontId="3" fillId="37" borderId="23"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35" xfId="0" applyFont="1" applyFill="1" applyBorder="1" applyAlignment="1" applyProtection="1">
      <alignment horizontal="center" vertical="center"/>
      <protection/>
    </xf>
    <xf numFmtId="0" fontId="3" fillId="37" borderId="30"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13" fillId="33" borderId="34" xfId="0" applyFont="1" applyFill="1" applyBorder="1" applyAlignment="1" applyProtection="1">
      <alignment vertical="center" wrapText="1"/>
      <protection/>
    </xf>
    <xf numFmtId="0" fontId="5" fillId="33" borderId="33" xfId="0" applyFont="1" applyFill="1" applyBorder="1" applyAlignment="1" applyProtection="1">
      <alignment vertical="center" wrapText="1"/>
      <protection/>
    </xf>
    <xf numFmtId="49" fontId="3" fillId="35" borderId="34" xfId="0" applyNumberFormat="1" applyFont="1" applyFill="1" applyBorder="1" applyAlignment="1" applyProtection="1">
      <alignment horizontal="center" vertical="center"/>
      <protection locked="0"/>
    </xf>
    <xf numFmtId="0" fontId="5" fillId="35" borderId="35" xfId="0" applyFont="1" applyFill="1" applyBorder="1" applyAlignment="1" applyProtection="1">
      <alignment vertical="center" wrapText="1"/>
      <protection locked="0"/>
    </xf>
    <xf numFmtId="0" fontId="3" fillId="34"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0" fontId="10" fillId="34" borderId="0" xfId="0" applyFont="1" applyFill="1" applyAlignment="1" applyProtection="1">
      <alignment vertical="center"/>
      <protection locked="0"/>
    </xf>
    <xf numFmtId="49" fontId="5" fillId="33" borderId="0" xfId="0" applyNumberFormat="1"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16" fillId="0" borderId="13" xfId="0" applyFont="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21"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14" fillId="0" borderId="10" xfId="0" applyFont="1" applyBorder="1" applyAlignment="1" applyProtection="1">
      <alignment horizontal="center"/>
      <protection locked="0"/>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right" vertical="center"/>
      <protection locked="0"/>
    </xf>
    <xf numFmtId="49" fontId="20" fillId="0" borderId="0" xfId="0" applyNumberFormat="1" applyFont="1" applyAlignment="1" applyProtection="1">
      <alignment horizontal="center"/>
      <protection locked="0"/>
    </xf>
    <xf numFmtId="0" fontId="13" fillId="0" borderId="10" xfId="0" applyFont="1" applyFill="1" applyBorder="1" applyAlignment="1" applyProtection="1">
      <alignment horizontal="center"/>
      <protection locked="0"/>
    </xf>
    <xf numFmtId="0" fontId="12" fillId="37" borderId="10" xfId="0" applyFont="1" applyFill="1" applyBorder="1" applyAlignment="1" applyProtection="1">
      <alignment horizontal="center" vertical="center"/>
      <protection locked="0"/>
    </xf>
    <xf numFmtId="0" fontId="12" fillId="38" borderId="10" xfId="0" applyFont="1" applyFill="1" applyBorder="1" applyAlignment="1" applyProtection="1">
      <alignment horizontal="center" vertical="center"/>
      <protection locked="0"/>
    </xf>
    <xf numFmtId="0" fontId="13" fillId="37" borderId="10" xfId="0" applyFont="1" applyFill="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11" fillId="35" borderId="10" xfId="0" applyFont="1" applyFill="1" applyBorder="1" applyAlignment="1" applyProtection="1">
      <alignment horizontal="center" vertical="center"/>
      <protection locked="0"/>
    </xf>
    <xf numFmtId="0" fontId="3" fillId="39" borderId="0" xfId="0" applyFont="1" applyFill="1" applyAlignment="1" applyProtection="1">
      <alignment vertical="center"/>
      <protection locked="0"/>
    </xf>
    <xf numFmtId="0" fontId="19" fillId="40" borderId="0" xfId="0" applyFont="1" applyFill="1" applyAlignment="1" applyProtection="1">
      <alignment horizontal="center"/>
      <protection locked="0"/>
    </xf>
    <xf numFmtId="0" fontId="20" fillId="40" borderId="0" xfId="0" applyFont="1" applyFill="1" applyAlignment="1" applyProtection="1">
      <alignment horizontal="center"/>
      <protection locked="0"/>
    </xf>
    <xf numFmtId="0" fontId="21" fillId="40" borderId="0" xfId="0" applyFont="1" applyFill="1" applyAlignment="1" applyProtection="1">
      <alignment horizontal="center"/>
      <protection locked="0"/>
    </xf>
    <xf numFmtId="0" fontId="20" fillId="41" borderId="0" xfId="0" applyFont="1" applyFill="1" applyAlignment="1" applyProtection="1">
      <alignment horizontal="center"/>
      <protection locked="0"/>
    </xf>
    <xf numFmtId="0" fontId="23" fillId="41" borderId="0" xfId="0" applyFont="1" applyFill="1" applyAlignment="1" applyProtection="1">
      <alignment horizontal="center"/>
      <protection locked="0"/>
    </xf>
    <xf numFmtId="0" fontId="20" fillId="35" borderId="0" xfId="0" applyFont="1" applyFill="1" applyAlignment="1" applyProtection="1">
      <alignment horizontal="center"/>
      <protection locked="0"/>
    </xf>
    <xf numFmtId="49" fontId="20" fillId="35" borderId="0" xfId="0" applyNumberFormat="1" applyFont="1" applyFill="1" applyAlignment="1" applyProtection="1">
      <alignment horizontal="center"/>
      <protection locked="0"/>
    </xf>
    <xf numFmtId="0" fontId="23" fillId="35" borderId="0" xfId="0" applyFont="1" applyFill="1" applyAlignment="1" applyProtection="1">
      <alignment horizontal="center"/>
      <protection locked="0"/>
    </xf>
    <xf numFmtId="0" fontId="3" fillId="35" borderId="0" xfId="0" applyFont="1" applyFill="1" applyAlignment="1" applyProtection="1">
      <alignment vertical="center"/>
      <protection locked="0"/>
    </xf>
    <xf numFmtId="1" fontId="20" fillId="35" borderId="0" xfId="0" applyNumberFormat="1" applyFont="1" applyFill="1" applyAlignment="1" applyProtection="1">
      <alignment horizontal="center"/>
      <protection locked="0"/>
    </xf>
    <xf numFmtId="0" fontId="20" fillId="0" borderId="0" xfId="0" applyFont="1" applyAlignment="1" applyProtection="1">
      <alignment horizontal="center"/>
      <protection locked="0"/>
    </xf>
    <xf numFmtId="0" fontId="22" fillId="35" borderId="0" xfId="0" applyFont="1" applyFill="1" applyAlignment="1" applyProtection="1">
      <alignment/>
      <protection locked="0"/>
    </xf>
    <xf numFmtId="0" fontId="20" fillId="35" borderId="0" xfId="0" applyFont="1" applyFill="1" applyAlignment="1" applyProtection="1">
      <alignment/>
      <protection locked="0"/>
    </xf>
    <xf numFmtId="0" fontId="22" fillId="35" borderId="0" xfId="0" applyFont="1" applyFill="1" applyAlignment="1" applyProtection="1">
      <alignment horizontal="center"/>
      <protection locked="0"/>
    </xf>
    <xf numFmtId="0" fontId="24" fillId="0" borderId="0" xfId="0" applyFont="1" applyAlignment="1" applyProtection="1">
      <alignment horizontal="center"/>
      <protection locked="0"/>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Fill="1" applyAlignment="1" applyProtection="1">
      <alignment vertical="center"/>
      <protection locked="0"/>
    </xf>
    <xf numFmtId="0" fontId="46" fillId="0" borderId="0" xfId="58" applyFill="1" applyBorder="1" applyAlignment="1" applyProtection="1">
      <alignment horizontal="center" vertical="center"/>
      <protection locked="0"/>
    </xf>
    <xf numFmtId="0" fontId="46" fillId="0" borderId="0" xfId="58" applyFont="1" applyFill="1" applyBorder="1" applyAlignment="1" applyProtection="1">
      <alignment horizontal="center" vertical="center"/>
      <protection locked="0"/>
    </xf>
    <xf numFmtId="0" fontId="48" fillId="0" borderId="0" xfId="58" applyFont="1" applyFill="1" applyBorder="1" applyAlignment="1" applyProtection="1">
      <alignment horizontal="left" vertical="center"/>
      <protection locked="0"/>
    </xf>
    <xf numFmtId="0" fontId="51" fillId="0" borderId="0" xfId="58" applyFont="1" applyFill="1" applyBorder="1" applyAlignment="1" applyProtection="1">
      <alignment horizontal="center" vertical="center"/>
      <protection locked="0"/>
    </xf>
    <xf numFmtId="0" fontId="51" fillId="0" borderId="0" xfId="58" applyFont="1" applyFill="1" applyBorder="1" applyAlignment="1" applyProtection="1">
      <alignment horizontal="left" vertical="center"/>
      <protection locked="0"/>
    </xf>
    <xf numFmtId="1" fontId="51" fillId="0" borderId="0" xfId="58" applyNumberFormat="1" applyFont="1" applyFill="1" applyBorder="1" applyAlignment="1" applyProtection="1">
      <alignment horizontal="center" vertical="center"/>
      <protection locked="0"/>
    </xf>
    <xf numFmtId="0" fontId="53" fillId="0" borderId="0" xfId="58" applyFont="1" applyFill="1" applyBorder="1" applyAlignment="1" applyProtection="1">
      <alignment horizontal="left" vertical="center"/>
      <protection locked="0"/>
    </xf>
    <xf numFmtId="0" fontId="46" fillId="0" borderId="0" xfId="58" applyFill="1" applyBorder="1" applyAlignment="1" applyProtection="1">
      <alignment horizontal="left" vertical="center"/>
      <protection locked="0"/>
    </xf>
    <xf numFmtId="0" fontId="62" fillId="35" borderId="34" xfId="54" applyFont="1" applyFill="1" applyBorder="1" applyAlignment="1" applyProtection="1">
      <alignment horizontal="left" vertical="center"/>
      <protection locked="0"/>
    </xf>
    <xf numFmtId="0" fontId="66" fillId="42" borderId="19" xfId="0" applyFont="1" applyFill="1" applyBorder="1" applyAlignment="1" applyProtection="1">
      <alignment horizontal="right" vertical="center" wrapText="1"/>
      <protection/>
    </xf>
    <xf numFmtId="0" fontId="66" fillId="42" borderId="0" xfId="0" applyFont="1" applyFill="1" applyBorder="1" applyAlignment="1" applyProtection="1">
      <alignment horizontal="right" vertical="center" wrapText="1"/>
      <protection/>
    </xf>
    <xf numFmtId="0" fontId="66" fillId="42" borderId="28" xfId="0" applyFont="1" applyFill="1" applyBorder="1" applyAlignment="1" applyProtection="1">
      <alignment horizontal="right" vertical="center" wrapText="1"/>
      <protection/>
    </xf>
    <xf numFmtId="0" fontId="67" fillId="42" borderId="19" xfId="0" applyFont="1" applyFill="1" applyBorder="1" applyAlignment="1" applyProtection="1">
      <alignment horizontal="right" vertical="center" wrapText="1"/>
      <protection/>
    </xf>
    <xf numFmtId="0" fontId="67" fillId="42" borderId="0" xfId="0" applyFont="1" applyFill="1" applyBorder="1" applyAlignment="1" applyProtection="1">
      <alignment horizontal="right" vertical="center" wrapText="1"/>
      <protection/>
    </xf>
    <xf numFmtId="0" fontId="67" fillId="42" borderId="28" xfId="0" applyFont="1" applyFill="1" applyBorder="1" applyAlignment="1" applyProtection="1">
      <alignment horizontal="right" vertical="center" wrapText="1"/>
      <protection/>
    </xf>
    <xf numFmtId="0" fontId="54" fillId="36" borderId="17" xfId="54" applyFont="1" applyFill="1" applyBorder="1" applyAlignment="1" applyProtection="1">
      <alignment horizontal="center" vertical="center"/>
      <protection/>
    </xf>
    <xf numFmtId="0" fontId="54" fillId="36" borderId="22" xfId="54"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33"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10" fillId="36" borderId="33" xfId="0" applyFont="1" applyFill="1" applyBorder="1" applyAlignment="1" applyProtection="1">
      <alignment horizontal="left" vertical="center"/>
      <protection/>
    </xf>
    <xf numFmtId="0" fontId="10" fillId="36" borderId="3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protection/>
    </xf>
    <xf numFmtId="0" fontId="4" fillId="36" borderId="3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protection locked="0"/>
    </xf>
    <xf numFmtId="0" fontId="4" fillId="36" borderId="30" xfId="0" applyFont="1" applyFill="1" applyBorder="1" applyAlignment="1" applyProtection="1">
      <alignment horizontal="left" vertical="center"/>
      <protection locked="0"/>
    </xf>
    <xf numFmtId="0" fontId="4" fillId="33" borderId="33"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5" borderId="33" xfId="0" applyFont="1" applyFill="1" applyBorder="1" applyAlignment="1" applyProtection="1">
      <alignment horizontal="left" vertical="center"/>
      <protection locked="0"/>
    </xf>
    <xf numFmtId="0" fontId="4" fillId="35" borderId="30" xfId="0" applyFont="1" applyFill="1" applyBorder="1" applyAlignment="1" applyProtection="1">
      <alignment horizontal="left" vertical="center"/>
      <protection locked="0"/>
    </xf>
    <xf numFmtId="0" fontId="0" fillId="0" borderId="30" xfId="0" applyBorder="1" applyAlignment="1" applyProtection="1">
      <alignment horizontal="left"/>
      <protection locked="0"/>
    </xf>
    <xf numFmtId="49" fontId="3" fillId="35" borderId="33" xfId="0" applyNumberFormat="1" applyFont="1" applyFill="1" applyBorder="1" applyAlignment="1" applyProtection="1">
      <alignment horizontal="left" vertical="center"/>
      <protection locked="0"/>
    </xf>
    <xf numFmtId="49" fontId="3" fillId="35" borderId="30" xfId="0" applyNumberFormat="1" applyFont="1" applyFill="1" applyBorder="1" applyAlignment="1" applyProtection="1">
      <alignment horizontal="left" vertical="center"/>
      <protection locked="0"/>
    </xf>
    <xf numFmtId="0" fontId="16" fillId="0" borderId="0" xfId="0" applyFont="1" applyAlignment="1" applyProtection="1">
      <alignment horizontal="left" vertical="center" wrapText="1"/>
      <protection locked="0"/>
    </xf>
    <xf numFmtId="0" fontId="4" fillId="33" borderId="19"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indent="1"/>
      <protection/>
    </xf>
    <xf numFmtId="0" fontId="4" fillId="36" borderId="30" xfId="0" applyFont="1" applyFill="1" applyBorder="1" applyAlignment="1" applyProtection="1">
      <alignment horizontal="left" vertical="center" indent="1"/>
      <protection/>
    </xf>
    <xf numFmtId="0" fontId="3" fillId="33" borderId="33"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7" borderId="16" xfId="0" applyFont="1" applyFill="1" applyBorder="1" applyAlignment="1" applyProtection="1">
      <alignment horizontal="left" vertical="center" wrapText="1"/>
      <protection/>
    </xf>
    <xf numFmtId="0" fontId="3" fillId="37" borderId="18" xfId="0" applyFont="1" applyFill="1" applyBorder="1" applyAlignment="1" applyProtection="1">
      <alignment horizontal="left" vertical="center" wrapText="1"/>
      <protection/>
    </xf>
    <xf numFmtId="0" fontId="3" fillId="37" borderId="19" xfId="0" applyFont="1" applyFill="1" applyBorder="1" applyAlignment="1" applyProtection="1">
      <alignment horizontal="left" vertical="center" wrapText="1"/>
      <protection/>
    </xf>
    <xf numFmtId="0" fontId="3" fillId="37" borderId="28" xfId="0" applyFont="1" applyFill="1" applyBorder="1" applyAlignment="1" applyProtection="1">
      <alignment horizontal="left" vertical="center" wrapText="1"/>
      <protection/>
    </xf>
    <xf numFmtId="0" fontId="3" fillId="37" borderId="21" xfId="0" applyFont="1" applyFill="1" applyBorder="1" applyAlignment="1" applyProtection="1">
      <alignment horizontal="left" vertical="center" wrapText="1"/>
      <protection/>
    </xf>
    <xf numFmtId="0" fontId="3" fillId="37" borderId="23" xfId="0" applyFont="1" applyFill="1" applyBorder="1" applyAlignment="1" applyProtection="1">
      <alignment horizontal="left" vertical="center" wrapText="1"/>
      <protection/>
    </xf>
    <xf numFmtId="0" fontId="69" fillId="42" borderId="16" xfId="0" applyFont="1" applyFill="1" applyBorder="1" applyAlignment="1" applyProtection="1">
      <alignment horizontal="right" vertical="center" wrapText="1"/>
      <protection/>
    </xf>
    <xf numFmtId="0" fontId="69" fillId="42" borderId="17" xfId="0" applyFont="1" applyFill="1" applyBorder="1" applyAlignment="1" applyProtection="1">
      <alignment horizontal="right" vertical="center" wrapText="1"/>
      <protection/>
    </xf>
    <xf numFmtId="0" fontId="69" fillId="42" borderId="18" xfId="0" applyFont="1" applyFill="1" applyBorder="1" applyAlignment="1" applyProtection="1">
      <alignment horizontal="right" vertical="center" wrapText="1"/>
      <protection/>
    </xf>
    <xf numFmtId="0" fontId="9" fillId="33" borderId="33"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17" fillId="35" borderId="33" xfId="0" applyFont="1" applyFill="1" applyBorder="1" applyAlignment="1" applyProtection="1">
      <alignment horizontal="center" vertical="center"/>
      <protection locked="0"/>
    </xf>
    <xf numFmtId="0" fontId="17" fillId="35" borderId="30" xfId="0" applyFont="1" applyFill="1" applyBorder="1" applyAlignment="1" applyProtection="1">
      <alignment horizontal="center" vertical="center"/>
      <protection locked="0"/>
    </xf>
    <xf numFmtId="0" fontId="17" fillId="36" borderId="33" xfId="0" applyFont="1" applyFill="1" applyBorder="1" applyAlignment="1" applyProtection="1">
      <alignment horizontal="center" vertical="center"/>
      <protection/>
    </xf>
    <xf numFmtId="0" fontId="17" fillId="36" borderId="30" xfId="0" applyFont="1" applyFill="1" applyBorder="1" applyAlignment="1" applyProtection="1">
      <alignment horizontal="center" vertical="center"/>
      <protection/>
    </xf>
    <xf numFmtId="0" fontId="49" fillId="0" borderId="0" xfId="58" applyFont="1" applyFill="1" applyBorder="1" applyAlignment="1" applyProtection="1">
      <alignment horizontal="center" vertical="center"/>
      <protection locked="0"/>
    </xf>
    <xf numFmtId="0" fontId="13" fillId="0" borderId="0" xfId="58" applyFont="1" applyFill="1" applyBorder="1" applyAlignment="1" applyProtection="1">
      <alignment horizontal="center" vertical="center"/>
      <protection locked="0"/>
    </xf>
    <xf numFmtId="0" fontId="3" fillId="33" borderId="30"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5" borderId="33" xfId="0" applyFont="1" applyFill="1" applyBorder="1" applyAlignment="1" applyProtection="1">
      <alignment horizontal="center" vertical="center"/>
      <protection locked="0"/>
    </xf>
    <xf numFmtId="0" fontId="3" fillId="35" borderId="30" xfId="0" applyFont="1" applyFill="1" applyBorder="1" applyAlignment="1" applyProtection="1">
      <alignment horizontal="center" vertical="center"/>
      <protection locked="0"/>
    </xf>
    <xf numFmtId="0" fontId="3" fillId="35" borderId="33" xfId="0" applyFont="1" applyFill="1" applyBorder="1" applyAlignment="1" applyProtection="1">
      <alignment horizontal="left" vertical="center"/>
      <protection locked="0"/>
    </xf>
    <xf numFmtId="0" fontId="3" fillId="35" borderId="32"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17" fillId="37" borderId="17" xfId="0" applyFont="1" applyFill="1" applyBorder="1" applyAlignment="1" applyProtection="1">
      <alignment horizontal="center" vertical="center" wrapText="1"/>
      <protection/>
    </xf>
    <xf numFmtId="0" fontId="17" fillId="37" borderId="0" xfId="0" applyFont="1" applyFill="1" applyAlignment="1" applyProtection="1">
      <alignment horizontal="center" vertical="center" wrapText="1"/>
      <protection/>
    </xf>
    <xf numFmtId="0" fontId="68" fillId="42" borderId="21" xfId="0" applyFont="1" applyFill="1" applyBorder="1" applyAlignment="1" applyProtection="1">
      <alignment horizontal="right" vertical="center" wrapText="1"/>
      <protection/>
    </xf>
    <xf numFmtId="0" fontId="68" fillId="42" borderId="22" xfId="0" applyFont="1" applyFill="1" applyBorder="1" applyAlignment="1" applyProtection="1">
      <alignment horizontal="right" vertical="center" wrapText="1"/>
      <protection/>
    </xf>
    <xf numFmtId="0" fontId="68" fillId="42" borderId="23" xfId="0" applyFont="1" applyFill="1" applyBorder="1" applyAlignment="1" applyProtection="1">
      <alignment horizontal="right" vertical="center" wrapText="1"/>
      <protection/>
    </xf>
    <xf numFmtId="0" fontId="47" fillId="0" borderId="0" xfId="58" applyFont="1" applyFill="1" applyBorder="1" applyAlignment="1" applyProtection="1">
      <alignment horizontal="center" vertical="center"/>
      <protection locked="0"/>
    </xf>
    <xf numFmtId="0" fontId="50" fillId="0" borderId="0" xfId="58" applyFont="1" applyFill="1" applyBorder="1" applyAlignment="1" applyProtection="1">
      <alignment horizontal="center" vertical="center"/>
      <protection locked="0"/>
    </xf>
    <xf numFmtId="0" fontId="29" fillId="0" borderId="0" xfId="0" applyFont="1" applyAlignment="1" applyProtection="1">
      <alignment horizontal="center" wrapText="1"/>
      <protection locked="0"/>
    </xf>
    <xf numFmtId="0" fontId="7" fillId="33" borderId="0" xfId="54" applyFont="1" applyFill="1" applyAlignment="1" applyProtection="1">
      <alignment horizontal="center" vertical="top" textRotation="90"/>
      <protection/>
    </xf>
    <xf numFmtId="0" fontId="3" fillId="33" borderId="33" xfId="0" applyFont="1" applyFill="1" applyBorder="1" applyAlignment="1" applyProtection="1">
      <alignment horizontal="right" vertical="center"/>
      <protection/>
    </xf>
    <xf numFmtId="0" fontId="3" fillId="33" borderId="30" xfId="0" applyFont="1" applyFill="1" applyBorder="1" applyAlignment="1" applyProtection="1">
      <alignment horizontal="right" vertical="center"/>
      <protection/>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15" fillId="0" borderId="0" xfId="0" applyFont="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right" vertical="center"/>
    </xf>
    <xf numFmtId="1" fontId="36" fillId="0" borderId="13" xfId="0" applyNumberFormat="1" applyFont="1" applyBorder="1" applyAlignment="1">
      <alignment horizontal="center" vertical="center"/>
    </xf>
    <xf numFmtId="1" fontId="36" fillId="0" borderId="15" xfId="0" applyNumberFormat="1" applyFont="1" applyBorder="1" applyAlignment="1">
      <alignment horizontal="center" vertical="center"/>
    </xf>
    <xf numFmtId="0" fontId="34" fillId="0" borderId="0" xfId="0" applyFont="1" applyAlignment="1" applyProtection="1">
      <alignment horizontal="center" vertical="center" wrapText="1" shrinkToFit="1"/>
      <protection locked="0"/>
    </xf>
    <xf numFmtId="0" fontId="32" fillId="0" borderId="0" xfId="0" applyFont="1" applyAlignment="1">
      <alignment horizontal="center"/>
    </xf>
    <xf numFmtId="0" fontId="33" fillId="0" borderId="0" xfId="0" applyFont="1" applyAlignment="1">
      <alignment horizontal="center"/>
    </xf>
    <xf numFmtId="40" fontId="36" fillId="0" borderId="0" xfId="0" applyNumberFormat="1" applyFont="1" applyAlignment="1">
      <alignment horizontal="left"/>
    </xf>
    <xf numFmtId="0" fontId="37" fillId="0" borderId="0" xfId="0" applyFont="1" applyAlignment="1">
      <alignment horizontal="center" vertical="center"/>
    </xf>
    <xf numFmtId="0" fontId="36" fillId="0" borderId="0" xfId="0" applyFont="1" applyAlignment="1">
      <alignment horizontal="left"/>
    </xf>
    <xf numFmtId="0" fontId="32" fillId="0" borderId="0" xfId="0" applyFont="1" applyAlignment="1">
      <alignment horizontal="center" vertical="center"/>
    </xf>
    <xf numFmtId="0" fontId="35" fillId="0" borderId="20" xfId="0" applyFont="1" applyBorder="1" applyAlignment="1">
      <alignment horizontal="left"/>
    </xf>
    <xf numFmtId="0" fontId="33" fillId="0" borderId="13" xfId="0" applyFont="1" applyBorder="1" applyAlignment="1">
      <alignment horizontal="center"/>
    </xf>
    <xf numFmtId="0" fontId="33" fillId="0" borderId="15" xfId="0" applyFont="1" applyBorder="1" applyAlignment="1">
      <alignment horizont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36" xfId="0" applyFont="1" applyBorder="1" applyAlignment="1">
      <alignment horizontal="center" vertical="center"/>
    </xf>
    <xf numFmtId="0" fontId="33" fillId="0" borderId="24" xfId="0" applyFont="1" applyBorder="1" applyAlignment="1">
      <alignment horizontal="left" vertical="center" wrapText="1"/>
    </xf>
    <xf numFmtId="0" fontId="33" fillId="0" borderId="3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6" fillId="0" borderId="24"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36"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9" xfId="0" applyFont="1" applyBorder="1" applyAlignment="1">
      <alignment horizontal="center" vertical="center" shrinkToFi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3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0" xfId="0" applyFont="1" applyBorder="1" applyAlignment="1">
      <alignment horizontal="left" vertical="center" wrapText="1"/>
    </xf>
    <xf numFmtId="0" fontId="41" fillId="0" borderId="29" xfId="0" applyFont="1" applyBorder="1" applyAlignment="1">
      <alignment horizontal="left" vertical="center" wrapText="1"/>
    </xf>
    <xf numFmtId="1" fontId="32" fillId="0" borderId="13" xfId="0" applyNumberFormat="1" applyFont="1" applyBorder="1" applyAlignment="1">
      <alignment horizontal="center" vertical="center"/>
    </xf>
    <xf numFmtId="1" fontId="32" fillId="0" borderId="14" xfId="0" applyNumberFormat="1" applyFont="1" applyBorder="1" applyAlignment="1">
      <alignment horizontal="center" vertical="center"/>
    </xf>
    <xf numFmtId="1" fontId="32" fillId="0" borderId="15" xfId="0" applyNumberFormat="1" applyFont="1" applyBorder="1" applyAlignment="1">
      <alignment horizontal="center" vertical="center"/>
    </xf>
    <xf numFmtId="0" fontId="33" fillId="0" borderId="0" xfId="0" applyFont="1" applyBorder="1" applyAlignment="1">
      <alignment/>
    </xf>
    <xf numFmtId="0" fontId="33" fillId="0" borderId="28" xfId="0" applyFont="1" applyBorder="1" applyAlignment="1">
      <alignment/>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25" xfId="0" applyFont="1" applyBorder="1" applyAlignment="1">
      <alignment horizontal="left" vertical="center" wrapText="1"/>
    </xf>
    <xf numFmtId="0" fontId="33" fillId="0" borderId="20" xfId="0" applyFont="1" applyBorder="1" applyAlignment="1">
      <alignment horizontal="left" vertical="center" wrapText="1"/>
    </xf>
    <xf numFmtId="0" fontId="33" fillId="0" borderId="0" xfId="0" applyFont="1" applyAlignment="1">
      <alignment/>
    </xf>
    <xf numFmtId="0" fontId="45" fillId="0" borderId="14" xfId="0" applyFont="1" applyBorder="1" applyAlignment="1">
      <alignment/>
    </xf>
    <xf numFmtId="0" fontId="40" fillId="0" borderId="0" xfId="0" applyFont="1" applyAlignment="1">
      <alignment horizontal="center" vertical="center"/>
    </xf>
    <xf numFmtId="0" fontId="33" fillId="0" borderId="0" xfId="0" applyFont="1" applyAlignment="1" applyProtection="1">
      <alignment horizontal="left" vertical="top" wrapText="1"/>
      <protection/>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9" xfId="0" applyFont="1" applyBorder="1" applyAlignment="1">
      <alignment horizontal="center" vertical="center"/>
    </xf>
    <xf numFmtId="0" fontId="36" fillId="0" borderId="0" xfId="0" applyFont="1" applyAlignment="1">
      <alignment horizontal="left" vertical="center"/>
    </xf>
    <xf numFmtId="0" fontId="44" fillId="0" borderId="20" xfId="0" applyFont="1" applyBorder="1" applyAlignment="1">
      <alignment horizontal="left" vertical="center" wrapText="1"/>
    </xf>
    <xf numFmtId="0" fontId="33" fillId="0" borderId="0" xfId="0" applyFont="1" applyAlignment="1">
      <alignment horizontal="left" wrapText="1"/>
    </xf>
    <xf numFmtId="2" fontId="35" fillId="0" borderId="20" xfId="0" applyNumberFormat="1" applyFont="1" applyBorder="1" applyAlignment="1">
      <alignment horizontal="right" vertical="center"/>
    </xf>
    <xf numFmtId="0" fontId="33" fillId="0" borderId="0" xfId="0" applyFont="1" applyBorder="1" applyAlignment="1">
      <alignment horizontal="center" vertical="center"/>
    </xf>
    <xf numFmtId="0" fontId="33" fillId="0" borderId="20" xfId="0" applyFont="1" applyBorder="1" applyAlignment="1">
      <alignment/>
    </xf>
    <xf numFmtId="0" fontId="35" fillId="0" borderId="0" xfId="0" applyFont="1" applyAlignment="1">
      <alignment vertical="center"/>
    </xf>
    <xf numFmtId="0" fontId="33" fillId="0" borderId="0" xfId="0" applyFont="1" applyBorder="1" applyAlignment="1">
      <alignment horizontal="center" vertical="center" textRotation="90" wrapText="1"/>
    </xf>
    <xf numFmtId="0" fontId="33" fillId="0" borderId="0" xfId="0" applyFont="1" applyAlignment="1">
      <alignment/>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8" fillId="0" borderId="26" xfId="0" applyFont="1" applyBorder="1" applyAlignment="1">
      <alignment horizontal="right" vertical="center"/>
    </xf>
    <xf numFmtId="0" fontId="38" fillId="0" borderId="0" xfId="0" applyFont="1" applyAlignment="1">
      <alignment horizontal="right" vertical="center"/>
    </xf>
    <xf numFmtId="0" fontId="35" fillId="0" borderId="0" xfId="0" applyFont="1" applyAlignment="1" applyProtection="1">
      <alignment horizontal="left" vertical="top" wrapText="1"/>
      <protection/>
    </xf>
    <xf numFmtId="0" fontId="35" fillId="0" borderId="37" xfId="0" applyFont="1" applyBorder="1" applyAlignment="1" applyProtection="1">
      <alignment horizontal="left" vertical="top" wrapText="1"/>
      <protection/>
    </xf>
    <xf numFmtId="0" fontId="35" fillId="0" borderId="20"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3" fillId="0" borderId="0" xfId="0" applyFont="1" applyBorder="1" applyAlignment="1">
      <alignment horizontal="center" vertical="center" wrapText="1"/>
    </xf>
    <xf numFmtId="0" fontId="33" fillId="0" borderId="0" xfId="0" applyFont="1" applyAlignment="1">
      <alignment horizontal="right" vertical="center"/>
    </xf>
    <xf numFmtId="0" fontId="35" fillId="0" borderId="0" xfId="0" applyFont="1" applyAlignment="1">
      <alignment horizontal="center" textRotation="90" shrinkToFit="1"/>
    </xf>
    <xf numFmtId="0" fontId="33" fillId="0" borderId="15"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2" fontId="36" fillId="0" borderId="13"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xf numFmtId="2" fontId="36" fillId="0" borderId="15" xfId="0" applyNumberFormat="1" applyFont="1" applyBorder="1" applyAlignment="1">
      <alignment horizontal="center" vertical="center" wrapText="1"/>
    </xf>
    <xf numFmtId="1" fontId="61" fillId="0" borderId="24" xfId="0" applyNumberFormat="1" applyFont="1" applyBorder="1" applyAlignment="1">
      <alignment horizontal="center" vertical="center" wrapText="1"/>
    </xf>
    <xf numFmtId="1" fontId="61" fillId="0" borderId="25" xfId="0" applyNumberFormat="1" applyFont="1" applyBorder="1" applyAlignment="1">
      <alignment horizontal="center" vertical="center" wrapText="1"/>
    </xf>
    <xf numFmtId="2" fontId="36" fillId="0" borderId="25" xfId="0" applyNumberFormat="1" applyFont="1" applyBorder="1" applyAlignment="1">
      <alignment horizontal="center" vertical="center" wrapText="1"/>
    </xf>
    <xf numFmtId="2" fontId="36" fillId="0" borderId="36" xfId="0" applyNumberFormat="1" applyFont="1" applyBorder="1" applyAlignment="1">
      <alignment horizontal="center" vertical="center" wrapText="1"/>
    </xf>
    <xf numFmtId="0" fontId="36" fillId="0" borderId="24"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36" xfId="0" applyFont="1" applyBorder="1" applyAlignment="1">
      <alignment horizontal="left" vertical="center" shrinkToFit="1"/>
    </xf>
    <xf numFmtId="0" fontId="36" fillId="0" borderId="2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1" xfId="0" applyFont="1" applyBorder="1" applyAlignment="1">
      <alignment horizontal="center" vertical="center" textRotation="90" wrapText="1"/>
    </xf>
    <xf numFmtId="0" fontId="36" fillId="0" borderId="38" xfId="0" applyFont="1" applyBorder="1" applyAlignment="1">
      <alignment horizontal="center" vertical="center" textRotation="90" wrapText="1"/>
    </xf>
    <xf numFmtId="0" fontId="36" fillId="0" borderId="12" xfId="0" applyFont="1" applyBorder="1" applyAlignment="1">
      <alignment horizontal="center" vertical="center" textRotation="90" wrapText="1"/>
    </xf>
    <xf numFmtId="1" fontId="36" fillId="0" borderId="24" xfId="0" applyNumberFormat="1" applyFont="1" applyBorder="1" applyAlignment="1">
      <alignment horizontal="center" vertical="center" wrapText="1"/>
    </xf>
    <xf numFmtId="1" fontId="36" fillId="0" borderId="25" xfId="0" applyNumberFormat="1" applyFont="1" applyBorder="1" applyAlignment="1">
      <alignment horizontal="center" vertical="center" wrapText="1"/>
    </xf>
    <xf numFmtId="1" fontId="36" fillId="0" borderId="36" xfId="0" applyNumberFormat="1" applyFont="1" applyBorder="1" applyAlignment="1">
      <alignment horizontal="center" vertical="center" wrapText="1"/>
    </xf>
    <xf numFmtId="1" fontId="36" fillId="0" borderId="26" xfId="0" applyNumberFormat="1" applyFont="1" applyBorder="1" applyAlignment="1">
      <alignment horizontal="center" vertical="center" wrapText="1"/>
    </xf>
    <xf numFmtId="1" fontId="36" fillId="0" borderId="0" xfId="0" applyNumberFormat="1" applyFont="1" applyBorder="1" applyAlignment="1">
      <alignment horizontal="center" vertical="center" wrapText="1"/>
    </xf>
    <xf numFmtId="1" fontId="36" fillId="0" borderId="37" xfId="0" applyNumberFormat="1" applyFont="1" applyBorder="1" applyAlignment="1">
      <alignment horizontal="center" vertical="center" wrapText="1"/>
    </xf>
    <xf numFmtId="1" fontId="36" fillId="0" borderId="27" xfId="0" applyNumberFormat="1" applyFont="1" applyBorder="1" applyAlignment="1">
      <alignment horizontal="center" vertical="center" wrapText="1"/>
    </xf>
    <xf numFmtId="1" fontId="36" fillId="0" borderId="20"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0" fontId="36" fillId="0" borderId="0" xfId="0" applyFont="1" applyAlignment="1">
      <alignment horizontal="center" vertical="center"/>
    </xf>
    <xf numFmtId="1" fontId="36" fillId="0" borderId="0" xfId="0" applyNumberFormat="1" applyFont="1" applyAlignment="1">
      <alignment horizontal="lef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0" xfId="0" applyFont="1" applyAlignment="1">
      <alignment horizontal="center" vertical="center" shrinkToFit="1"/>
    </xf>
    <xf numFmtId="1" fontId="61" fillId="0" borderId="26" xfId="0" applyNumberFormat="1" applyFont="1" applyBorder="1" applyAlignment="1">
      <alignment horizontal="center" vertical="center" wrapText="1"/>
    </xf>
    <xf numFmtId="1" fontId="61"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36" fillId="0" borderId="37" xfId="0" applyNumberFormat="1" applyFont="1" applyBorder="1" applyAlignment="1">
      <alignment horizontal="center" vertical="center" wrapText="1"/>
    </xf>
    <xf numFmtId="0" fontId="60" fillId="0" borderId="0" xfId="0" applyFont="1" applyAlignment="1">
      <alignment horizontal="center" vertical="center"/>
    </xf>
    <xf numFmtId="0" fontId="32" fillId="0" borderId="10" xfId="0" applyFont="1" applyBorder="1" applyAlignment="1">
      <alignment horizontal="center" vertical="center"/>
    </xf>
    <xf numFmtId="2" fontId="32" fillId="0" borderId="10" xfId="0" applyNumberFormat="1" applyFont="1" applyBorder="1" applyAlignment="1">
      <alignment horizontal="center" vertical="center"/>
    </xf>
    <xf numFmtId="0" fontId="33" fillId="0" borderId="0" xfId="0" applyFont="1" applyAlignment="1">
      <alignment horizontal="left" vertical="top"/>
    </xf>
    <xf numFmtId="0" fontId="33" fillId="0" borderId="10" xfId="0" applyFont="1" applyBorder="1" applyAlignment="1">
      <alignment horizontal="center" vertical="center"/>
    </xf>
    <xf numFmtId="0" fontId="32" fillId="0" borderId="1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1" fontId="35" fillId="0" borderId="13" xfId="0" applyNumberFormat="1" applyFont="1" applyBorder="1" applyAlignment="1">
      <alignment horizontal="center" vertical="center" wrapText="1"/>
    </xf>
    <xf numFmtId="1" fontId="35" fillId="0" borderId="14" xfId="0" applyNumberFormat="1" applyFont="1" applyBorder="1" applyAlignment="1">
      <alignment horizontal="center" vertical="center" wrapText="1"/>
    </xf>
    <xf numFmtId="1" fontId="35" fillId="0" borderId="15" xfId="0" applyNumberFormat="1" applyFont="1" applyBorder="1" applyAlignment="1">
      <alignment horizontal="center" vertical="center" wrapText="1"/>
    </xf>
    <xf numFmtId="2" fontId="32" fillId="0" borderId="13" xfId="0" applyNumberFormat="1"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59"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center" vertical="top" wrapText="1"/>
    </xf>
    <xf numFmtId="0" fontId="58" fillId="0" borderId="0" xfId="0" applyFont="1" applyAlignment="1">
      <alignment horizontal="center"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3"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5" xfId="0" applyNumberFormat="1" applyFont="1" applyBorder="1" applyAlignment="1">
      <alignment horizontal="left" vertical="center"/>
    </xf>
    <xf numFmtId="0" fontId="59" fillId="0" borderId="20" xfId="0" applyFont="1" applyBorder="1" applyAlignment="1">
      <alignment horizontal="left" vertical="center"/>
    </xf>
    <xf numFmtId="0" fontId="59" fillId="0" borderId="0" xfId="0" applyFont="1" applyAlignment="1">
      <alignment horizontal="left" vertical="center" wrapText="1"/>
    </xf>
    <xf numFmtId="0" fontId="35" fillId="0" borderId="0" xfId="0" applyFont="1" applyAlignment="1">
      <alignment horizontal="left" vertical="center"/>
    </xf>
    <xf numFmtId="2" fontId="32" fillId="0" borderId="0" xfId="0" applyNumberFormat="1" applyFont="1" applyAlignment="1">
      <alignment horizontal="left" vertical="center"/>
    </xf>
    <xf numFmtId="0" fontId="33" fillId="0" borderId="0" xfId="0" applyFont="1" applyAlignment="1">
      <alignment horizontal="left" vertical="top" wrapText="1"/>
    </xf>
    <xf numFmtId="0" fontId="36" fillId="0" borderId="0" xfId="0" applyFont="1" applyAlignment="1">
      <alignment horizontal="left" vertical="center" shrinkToFit="1"/>
    </xf>
    <xf numFmtId="0" fontId="33" fillId="0" borderId="0" xfId="0" applyFont="1" applyAlignment="1">
      <alignment horizontal="left" vertical="center" wrapText="1"/>
    </xf>
    <xf numFmtId="1" fontId="36" fillId="0" borderId="0" xfId="0" applyNumberFormat="1" applyFont="1" applyAlignment="1">
      <alignment horizontal="center" vertical="center"/>
    </xf>
    <xf numFmtId="0" fontId="36" fillId="0" borderId="0" xfId="0" applyFont="1" applyAlignment="1">
      <alignment horizontal="left" vertical="center" indent="1"/>
    </xf>
    <xf numFmtId="1" fontId="39" fillId="0" borderId="0" xfId="0" applyNumberFormat="1" applyFont="1" applyAlignment="1">
      <alignment horizontal="left" vertical="center" shrinkToFit="1"/>
    </xf>
    <xf numFmtId="2" fontId="33" fillId="0" borderId="0" xfId="0" applyNumberFormat="1" applyFont="1" applyAlignment="1">
      <alignment horizontal="left" vertical="center"/>
    </xf>
    <xf numFmtId="0" fontId="33" fillId="0" borderId="0" xfId="0" applyFont="1" applyAlignment="1">
      <alignment horizontal="left" vertical="center"/>
    </xf>
    <xf numFmtId="0" fontId="39" fillId="0" borderId="0" xfId="0" applyFont="1" applyAlignment="1">
      <alignment horizontal="left" vertical="top" wrapText="1"/>
    </xf>
    <xf numFmtId="0" fontId="39" fillId="0" borderId="0" xfId="0" applyFont="1" applyAlignment="1">
      <alignment horizontal="left" vertical="center"/>
    </xf>
    <xf numFmtId="0" fontId="55" fillId="0" borderId="0" xfId="0" applyFont="1" applyBorder="1" applyAlignment="1">
      <alignment horizontal="center" vertical="center"/>
    </xf>
    <xf numFmtId="0" fontId="56" fillId="0" borderId="0" xfId="0" applyFont="1" applyBorder="1" applyAlignment="1">
      <alignment horizontal="left" vertical="center"/>
    </xf>
    <xf numFmtId="0" fontId="56" fillId="0" borderId="37" xfId="0" applyFont="1" applyBorder="1" applyAlignment="1">
      <alignment horizontal="left" vertical="center"/>
    </xf>
    <xf numFmtId="1"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wrapText="1"/>
    </xf>
    <xf numFmtId="2" fontId="42" fillId="0" borderId="0" xfId="0" applyNumberFormat="1" applyFont="1" applyAlignment="1">
      <alignment horizontal="left" vertical="center"/>
    </xf>
    <xf numFmtId="0" fontId="42" fillId="0" borderId="0" xfId="0" applyFont="1" applyAlignment="1">
      <alignment horizontal="left" vertical="center"/>
    </xf>
    <xf numFmtId="0" fontId="64" fillId="0" borderId="0" xfId="0" applyFont="1" applyAlignment="1" applyProtection="1">
      <alignment horizontal="center" vertical="center"/>
      <protection hidden="1" locked="0"/>
    </xf>
    <xf numFmtId="0" fontId="0" fillId="0" borderId="0" xfId="0" applyAlignment="1" applyProtection="1">
      <alignment horizontal="left" vertical="center"/>
      <protection hidden="1" locked="0"/>
    </xf>
    <xf numFmtId="0" fontId="0" fillId="0" borderId="0" xfId="0" applyAlignment="1" applyProtection="1">
      <alignment horizontal="center" vertical="center"/>
      <protection hidden="1" locked="0"/>
    </xf>
    <xf numFmtId="0" fontId="0" fillId="0" borderId="11"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0" xfId="0" applyBorder="1" applyAlignment="1" applyProtection="1">
      <alignment horizontal="center" vertical="center" wrapText="1"/>
      <protection hidden="1" locked="0"/>
    </xf>
    <xf numFmtId="0" fontId="0" fillId="0" borderId="10" xfId="0" applyBorder="1" applyAlignment="1" applyProtection="1">
      <alignment horizontal="left" vertical="center" wrapText="1"/>
      <protection hidden="1" locked="0"/>
    </xf>
    <xf numFmtId="0" fontId="0" fillId="0" borderId="12" xfId="0" applyBorder="1" applyAlignment="1" applyProtection="1">
      <alignment horizontal="center" vertical="center"/>
      <protection hidden="1" locked="0"/>
    </xf>
    <xf numFmtId="0" fontId="0" fillId="0" borderId="38"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3" xfId="0" applyBorder="1" applyAlignment="1" applyProtection="1">
      <alignment horizontal="center" vertical="center"/>
      <protection hidden="1" locked="0"/>
    </xf>
    <xf numFmtId="0" fontId="0" fillId="0" borderId="11" xfId="0" applyBorder="1" applyAlignment="1" applyProtection="1">
      <alignment horizontal="left" vertical="center" wrapText="1"/>
      <protection hidden="1" locked="0"/>
    </xf>
    <xf numFmtId="0" fontId="0" fillId="0" borderId="15" xfId="0" applyBorder="1" applyAlignment="1" applyProtection="1">
      <alignment horizontal="left" vertical="center"/>
      <protection hidden="1" locked="0"/>
    </xf>
    <xf numFmtId="0" fontId="0" fillId="0" borderId="38" xfId="0" applyBorder="1" applyAlignment="1" applyProtection="1">
      <alignment horizontal="left" vertical="center" wrapText="1"/>
      <protection hidden="1" locked="0"/>
    </xf>
    <xf numFmtId="0" fontId="0" fillId="0" borderId="38" xfId="0" applyBorder="1" applyAlignment="1" applyProtection="1">
      <alignment horizontal="left" vertical="center"/>
      <protection hidden="1" locked="0"/>
    </xf>
    <xf numFmtId="0" fontId="0" fillId="0" borderId="38"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63" fillId="0" borderId="0" xfId="0" applyFont="1" applyAlignment="1" applyProtection="1">
      <alignment horizontal="left" vertical="center"/>
      <protection hidden="1" locked="0"/>
    </xf>
    <xf numFmtId="0" fontId="0" fillId="0" borderId="0" xfId="0" applyAlignment="1" applyProtection="1">
      <alignment horizontal="left" vertical="center" wrapText="1"/>
      <protection hidden="1" locked="0"/>
    </xf>
    <xf numFmtId="1" fontId="33" fillId="0" borderId="10" xfId="0" applyNumberFormat="1"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11</xdr:row>
      <xdr:rowOff>47625</xdr:rowOff>
    </xdr:from>
    <xdr:to>
      <xdr:col>2</xdr:col>
      <xdr:colOff>514350</xdr:colOff>
      <xdr:row>17</xdr:row>
      <xdr:rowOff>200025</xdr:rowOff>
    </xdr:to>
    <xdr:pic>
      <xdr:nvPicPr>
        <xdr:cNvPr id="1" name="Picture 1" descr="DSC_0021.JPG"/>
        <xdr:cNvPicPr preferRelativeResize="1">
          <a:picLocks noChangeAspect="1"/>
        </xdr:cNvPicPr>
      </xdr:nvPicPr>
      <xdr:blipFill>
        <a:blip r:embed="rId1">
          <a:clrChange>
            <a:clrFrom>
              <a:srgbClr val="EBD5AD"/>
            </a:clrFrom>
            <a:clrTo>
              <a:srgbClr val="EBD5AD">
                <a:alpha val="0"/>
              </a:srgbClr>
            </a:clrTo>
          </a:clrChange>
        </a:blip>
        <a:stretch>
          <a:fillRect/>
        </a:stretch>
      </xdr:blipFill>
      <xdr:spPr>
        <a:xfrm>
          <a:off x="28575" y="2695575"/>
          <a:ext cx="15240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hyperlink" Target="http://www.prtunzb.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A836"/>
  <sheetViews>
    <sheetView showGridLines="0" tabSelected="1" zoomScale="115" zoomScaleNormal="115" zoomScalePageLayoutView="0" workbookViewId="0" topLeftCell="A1">
      <selection activeCell="E23" sqref="E23"/>
    </sheetView>
  </sheetViews>
  <sheetFormatPr defaultColWidth="9.140625" defaultRowHeight="20.25" customHeight="1"/>
  <cols>
    <col min="1" max="1" width="1.1484375" style="114" customWidth="1"/>
    <col min="2" max="2" width="14.421875" style="115" customWidth="1"/>
    <col min="3" max="3" width="14.8515625" style="115" customWidth="1"/>
    <col min="4" max="7" width="17.140625" style="115" customWidth="1"/>
    <col min="8" max="8" width="1.1484375" style="114" customWidth="1"/>
    <col min="9" max="9" width="13.57421875" style="115" customWidth="1"/>
    <col min="10" max="10" width="1.7109375" style="114" customWidth="1"/>
    <col min="11" max="14" width="7.8515625" style="115" customWidth="1"/>
    <col min="15" max="15" width="11.00390625" style="115" customWidth="1"/>
    <col min="16" max="16" width="12.7109375" style="115" customWidth="1"/>
    <col min="17" max="18" width="12.140625" style="115" customWidth="1"/>
    <col min="19" max="19" width="16.421875" style="115" customWidth="1"/>
    <col min="20" max="20" width="10.00390625" style="115" customWidth="1"/>
    <col min="21" max="22" width="12.140625" style="115" customWidth="1"/>
    <col min="23" max="23" width="13.28125" style="115" customWidth="1"/>
    <col min="24" max="34" width="7.8515625" style="115" customWidth="1"/>
    <col min="35" max="16384" width="9.140625" style="115" customWidth="1"/>
  </cols>
  <sheetData>
    <row r="1" spans="2:9" ht="6" customHeight="1" thickBot="1">
      <c r="B1" s="114"/>
      <c r="C1" s="114"/>
      <c r="D1" s="114"/>
      <c r="E1" s="114"/>
      <c r="F1" s="114"/>
      <c r="G1" s="114"/>
      <c r="I1" s="114"/>
    </row>
    <row r="2" spans="2:9" ht="20.25" customHeight="1" thickBot="1">
      <c r="B2" s="249" t="s">
        <v>5</v>
      </c>
      <c r="C2" s="250"/>
      <c r="D2" s="251" t="s">
        <v>0</v>
      </c>
      <c r="E2" s="252"/>
      <c r="F2" s="253" t="s">
        <v>1</v>
      </c>
      <c r="G2" s="254"/>
      <c r="I2" s="273" t="s">
        <v>8</v>
      </c>
    </row>
    <row r="3" spans="2:9" ht="20.25" customHeight="1" thickBot="1">
      <c r="B3" s="215" t="s">
        <v>2</v>
      </c>
      <c r="C3" s="216"/>
      <c r="D3" s="228" t="s">
        <v>485</v>
      </c>
      <c r="E3" s="229"/>
      <c r="F3" s="224" t="s">
        <v>202</v>
      </c>
      <c r="G3" s="225"/>
      <c r="I3" s="273"/>
    </row>
    <row r="4" spans="2:9" ht="20.25" customHeight="1" thickBot="1">
      <c r="B4" s="215" t="s">
        <v>3</v>
      </c>
      <c r="C4" s="216"/>
      <c r="D4" s="116"/>
      <c r="E4" s="116"/>
      <c r="F4" s="222" t="str">
        <f>CONCATENATE(B148,C148)</f>
        <v>SGT </v>
      </c>
      <c r="G4" s="223"/>
      <c r="I4" s="273"/>
    </row>
    <row r="5" spans="2:9" ht="20.25" customHeight="1" thickBot="1">
      <c r="B5" s="117" t="s">
        <v>4</v>
      </c>
      <c r="C5" s="118"/>
      <c r="D5" s="228" t="s">
        <v>88</v>
      </c>
      <c r="E5" s="230"/>
      <c r="F5" s="224" t="s">
        <v>89</v>
      </c>
      <c r="G5" s="225"/>
      <c r="I5" s="273"/>
    </row>
    <row r="6" spans="2:9" ht="20.25" customHeight="1" thickBot="1">
      <c r="B6" s="215" t="s">
        <v>22</v>
      </c>
      <c r="C6" s="216"/>
      <c r="D6" s="228" t="s">
        <v>90</v>
      </c>
      <c r="E6" s="229"/>
      <c r="F6" s="224" t="s">
        <v>90</v>
      </c>
      <c r="G6" s="225"/>
      <c r="I6" s="273"/>
    </row>
    <row r="7" spans="2:9" ht="20.25" customHeight="1" thickBot="1">
      <c r="B7" s="226" t="s">
        <v>23</v>
      </c>
      <c r="C7" s="227"/>
      <c r="D7" s="119"/>
      <c r="E7" s="120"/>
      <c r="F7" s="121"/>
      <c r="G7" s="122"/>
      <c r="I7" s="273"/>
    </row>
    <row r="8" spans="2:9" ht="20.25" customHeight="1" thickBot="1">
      <c r="B8" s="215" t="s">
        <v>24</v>
      </c>
      <c r="C8" s="216"/>
      <c r="D8" s="119"/>
      <c r="E8" s="120"/>
      <c r="F8" s="121"/>
      <c r="G8" s="122"/>
      <c r="I8" s="273"/>
    </row>
    <row r="9" spans="2:9" ht="20.25" customHeight="1" thickBot="1">
      <c r="B9" s="217" t="s">
        <v>14</v>
      </c>
      <c r="C9" s="218"/>
      <c r="D9" s="219"/>
      <c r="E9" s="123"/>
      <c r="F9" s="220" t="s">
        <v>1</v>
      </c>
      <c r="G9" s="221"/>
      <c r="I9" s="273"/>
    </row>
    <row r="10" spans="2:9" ht="20.25" customHeight="1" thickBot="1">
      <c r="B10" s="209" t="s">
        <v>414</v>
      </c>
      <c r="C10" s="210"/>
      <c r="D10" s="124" t="s">
        <v>15</v>
      </c>
      <c r="E10" s="116"/>
      <c r="F10" s="236" t="s">
        <v>15</v>
      </c>
      <c r="G10" s="237"/>
      <c r="I10" s="273"/>
    </row>
    <row r="11" spans="2:9" ht="20.25" customHeight="1" thickBot="1">
      <c r="B11" s="211"/>
      <c r="C11" s="212"/>
      <c r="D11" s="125" t="s">
        <v>16</v>
      </c>
      <c r="E11" s="116"/>
      <c r="F11" s="207" t="s">
        <v>8</v>
      </c>
      <c r="G11" s="207"/>
      <c r="I11" s="273"/>
    </row>
    <row r="12" spans="2:9" ht="21" customHeight="1" thickBot="1">
      <c r="B12" s="213"/>
      <c r="C12" s="214"/>
      <c r="D12" s="126" t="s">
        <v>180</v>
      </c>
      <c r="E12" s="127"/>
      <c r="F12" s="208"/>
      <c r="G12" s="208"/>
      <c r="I12" s="273"/>
    </row>
    <row r="13" spans="2:9" ht="22.5" customHeight="1">
      <c r="B13" s="246" t="s">
        <v>9</v>
      </c>
      <c r="C13" s="247"/>
      <c r="D13" s="247"/>
      <c r="E13" s="248"/>
      <c r="F13" s="240" t="s">
        <v>131</v>
      </c>
      <c r="G13" s="241"/>
      <c r="I13" s="273"/>
    </row>
    <row r="14" spans="2:9" ht="22.5" customHeight="1">
      <c r="B14" s="201" t="s">
        <v>10</v>
      </c>
      <c r="C14" s="202"/>
      <c r="D14" s="202"/>
      <c r="E14" s="203"/>
      <c r="F14" s="242"/>
      <c r="G14" s="243"/>
      <c r="I14" s="273"/>
    </row>
    <row r="15" spans="2:9" ht="22.5" customHeight="1" thickBot="1">
      <c r="B15" s="204" t="s">
        <v>11</v>
      </c>
      <c r="C15" s="205"/>
      <c r="D15" s="205"/>
      <c r="E15" s="206"/>
      <c r="F15" s="244"/>
      <c r="G15" s="245"/>
      <c r="I15" s="273"/>
    </row>
    <row r="16" spans="2:9" ht="22.5" customHeight="1" thickBot="1">
      <c r="B16" s="204" t="s">
        <v>12</v>
      </c>
      <c r="C16" s="205"/>
      <c r="D16" s="205"/>
      <c r="E16" s="206"/>
      <c r="F16" s="128" t="s">
        <v>130</v>
      </c>
      <c r="G16" s="129"/>
      <c r="I16" s="273"/>
    </row>
    <row r="17" spans="2:9" ht="22.5" customHeight="1" thickBot="1">
      <c r="B17" s="267" t="s">
        <v>13</v>
      </c>
      <c r="C17" s="268"/>
      <c r="D17" s="268"/>
      <c r="E17" s="269"/>
      <c r="F17" s="130" t="s">
        <v>132</v>
      </c>
      <c r="G17" s="131"/>
      <c r="I17" s="273"/>
    </row>
    <row r="18" spans="2:9" ht="20.25" customHeight="1" thickBot="1">
      <c r="B18" s="238" t="s">
        <v>421</v>
      </c>
      <c r="C18" s="257"/>
      <c r="D18" s="238" t="s">
        <v>7</v>
      </c>
      <c r="E18" s="239"/>
      <c r="F18" s="113" t="s">
        <v>479</v>
      </c>
      <c r="G18" s="200">
        <v>2026087</v>
      </c>
      <c r="I18" s="273"/>
    </row>
    <row r="19" spans="2:9" ht="20.25" customHeight="1" thickBot="1">
      <c r="B19" s="234" t="s">
        <v>46</v>
      </c>
      <c r="C19" s="235"/>
      <c r="D19" s="132"/>
      <c r="E19" s="133" t="s">
        <v>6</v>
      </c>
      <c r="F19" s="228" t="s">
        <v>94</v>
      </c>
      <c r="G19" s="229"/>
      <c r="I19" s="273"/>
    </row>
    <row r="20" spans="2:9" ht="20.25" customHeight="1" thickBot="1">
      <c r="B20" s="238" t="s">
        <v>93</v>
      </c>
      <c r="C20" s="239"/>
      <c r="D20" s="257"/>
      <c r="E20" s="228" t="s">
        <v>107</v>
      </c>
      <c r="F20" s="258"/>
      <c r="G20" s="229"/>
      <c r="I20" s="273"/>
    </row>
    <row r="21" spans="2:9" ht="20.25" customHeight="1" thickBot="1">
      <c r="B21" s="238" t="s">
        <v>409</v>
      </c>
      <c r="C21" s="257"/>
      <c r="D21" s="134"/>
      <c r="E21" s="135" t="s">
        <v>410</v>
      </c>
      <c r="F21" s="260" t="s">
        <v>411</v>
      </c>
      <c r="G21" s="261"/>
      <c r="I21" s="273"/>
    </row>
    <row r="22" spans="2:9" ht="25.5" customHeight="1" thickBot="1">
      <c r="B22" s="135" t="s">
        <v>412</v>
      </c>
      <c r="C22" s="262" t="s">
        <v>406</v>
      </c>
      <c r="D22" s="263"/>
      <c r="E22" s="136" t="s">
        <v>415</v>
      </c>
      <c r="F22" s="262" t="s">
        <v>413</v>
      </c>
      <c r="G22" s="264"/>
      <c r="I22" s="114"/>
    </row>
    <row r="23" spans="2:7" ht="20.25" customHeight="1" thickBot="1">
      <c r="B23" s="135" t="s">
        <v>416</v>
      </c>
      <c r="C23" s="274" t="s">
        <v>420</v>
      </c>
      <c r="D23" s="275"/>
      <c r="E23" s="139">
        <v>8260</v>
      </c>
      <c r="F23" s="135" t="s">
        <v>223</v>
      </c>
      <c r="G23" s="138">
        <v>20111</v>
      </c>
    </row>
    <row r="24" spans="2:7" ht="23.25" customHeight="1" thickBot="1">
      <c r="B24" s="137" t="s">
        <v>476</v>
      </c>
      <c r="C24" s="231" t="s">
        <v>478</v>
      </c>
      <c r="D24" s="232"/>
      <c r="E24" s="135" t="s">
        <v>477</v>
      </c>
      <c r="F24" s="262" t="s">
        <v>413</v>
      </c>
      <c r="G24" s="264"/>
    </row>
    <row r="25" spans="2:7" ht="20.25" customHeight="1">
      <c r="B25" s="265" t="s">
        <v>486</v>
      </c>
      <c r="C25" s="265"/>
      <c r="D25" s="265"/>
      <c r="E25" s="265"/>
      <c r="F25" s="265"/>
      <c r="G25" s="265"/>
    </row>
    <row r="26" spans="2:7" ht="20.25" customHeight="1">
      <c r="B26" s="266"/>
      <c r="C26" s="266"/>
      <c r="D26" s="266"/>
      <c r="E26" s="266"/>
      <c r="F26" s="266"/>
      <c r="G26" s="266"/>
    </row>
    <row r="126" ht="20.25" customHeight="1" hidden="1"/>
    <row r="127" ht="20.25" customHeight="1" hidden="1"/>
    <row r="128" ht="20.25" customHeight="1" hidden="1"/>
    <row r="129" ht="20.25" customHeight="1" hidden="1"/>
    <row r="130" ht="20.25" customHeight="1" hidden="1"/>
    <row r="131" spans="1:10" s="141" customFormat="1" ht="20.25" customHeight="1" hidden="1">
      <c r="A131" s="140"/>
      <c r="H131" s="140"/>
      <c r="J131" s="140"/>
    </row>
    <row r="132" spans="1:10" s="141" customFormat="1" ht="20.25" customHeight="1" hidden="1">
      <c r="A132" s="140"/>
      <c r="H132" s="140"/>
      <c r="J132" s="140"/>
    </row>
    <row r="133" spans="1:10" s="141" customFormat="1" ht="20.25" customHeight="1" hidden="1">
      <c r="A133" s="140"/>
      <c r="H133" s="140"/>
      <c r="J133" s="140"/>
    </row>
    <row r="134" spans="1:10" s="141" customFormat="1" ht="20.25" customHeight="1" hidden="1">
      <c r="A134" s="140"/>
      <c r="H134" s="140"/>
      <c r="J134" s="140"/>
    </row>
    <row r="135" spans="1:10" s="141" customFormat="1" ht="20.25" customHeight="1" hidden="1">
      <c r="A135" s="140"/>
      <c r="H135" s="140"/>
      <c r="J135" s="140"/>
    </row>
    <row r="136" spans="1:10" s="141" customFormat="1" ht="20.25" customHeight="1" hidden="1">
      <c r="A136" s="140"/>
      <c r="H136" s="140"/>
      <c r="J136" s="140"/>
    </row>
    <row r="137" spans="1:10" s="141" customFormat="1" ht="20.25" customHeight="1" hidden="1">
      <c r="A137" s="140"/>
      <c r="H137" s="140"/>
      <c r="J137" s="140"/>
    </row>
    <row r="138" spans="1:10" s="141" customFormat="1" ht="20.25" customHeight="1" hidden="1">
      <c r="A138" s="140"/>
      <c r="H138" s="140"/>
      <c r="J138" s="140"/>
    </row>
    <row r="139" spans="1:10" s="141" customFormat="1" ht="20.25" customHeight="1" hidden="1">
      <c r="A139" s="140"/>
      <c r="H139" s="140"/>
      <c r="J139" s="140"/>
    </row>
    <row r="140" spans="1:10" s="141" customFormat="1" ht="20.25" customHeight="1" hidden="1">
      <c r="A140" s="140"/>
      <c r="H140" s="140"/>
      <c r="J140" s="140"/>
    </row>
    <row r="141" spans="1:10" s="141" customFormat="1" ht="20.25" customHeight="1" hidden="1">
      <c r="A141" s="140"/>
      <c r="H141" s="140"/>
      <c r="J141" s="140"/>
    </row>
    <row r="142" spans="1:10" s="141" customFormat="1" ht="20.25" customHeight="1" hidden="1">
      <c r="A142" s="140"/>
      <c r="H142" s="140"/>
      <c r="J142" s="140"/>
    </row>
    <row r="143" spans="1:10" s="141" customFormat="1" ht="20.25" customHeight="1" hidden="1">
      <c r="A143" s="140"/>
      <c r="H143" s="140"/>
      <c r="J143" s="140"/>
    </row>
    <row r="144" spans="1:10" s="141" customFormat="1" ht="20.25" customHeight="1" hidden="1">
      <c r="A144" s="140"/>
      <c r="H144" s="140"/>
      <c r="J144" s="140"/>
    </row>
    <row r="145" spans="1:10" s="141" customFormat="1" ht="20.25" customHeight="1" hidden="1">
      <c r="A145" s="140"/>
      <c r="H145" s="140"/>
      <c r="J145" s="140"/>
    </row>
    <row r="146" spans="1:10" s="143" customFormat="1" ht="20.25" customHeight="1" hidden="1">
      <c r="A146" s="142"/>
      <c r="H146" s="142"/>
      <c r="J146" s="142"/>
    </row>
    <row r="147" spans="1:10" s="143" customFormat="1" ht="20.25" customHeight="1" hidden="1">
      <c r="A147" s="142"/>
      <c r="H147" s="142"/>
      <c r="J147" s="142"/>
    </row>
    <row r="148" spans="1:10" s="143" customFormat="1" ht="20.25" customHeight="1" hidden="1">
      <c r="A148" s="142"/>
      <c r="B148" s="143" t="str">
        <f>VLOOKUP(B149,A150:B154,2,0)</f>
        <v>SGT</v>
      </c>
      <c r="C148" s="143" t="str">
        <f>VLOOKUP(C149,A150:C159,3,0)</f>
        <v> </v>
      </c>
      <c r="G148" s="143">
        <f>VLOOKUP(G149,F150:G153,2,0)</f>
        <v>10</v>
      </c>
      <c r="H148" s="142"/>
      <c r="J148" s="142"/>
    </row>
    <row r="149" spans="1:10" s="143" customFormat="1" ht="20.25" customHeight="1" hidden="1">
      <c r="A149" s="142"/>
      <c r="B149" s="144">
        <v>4</v>
      </c>
      <c r="C149" s="144">
        <v>1</v>
      </c>
      <c r="G149" s="143">
        <v>1</v>
      </c>
      <c r="H149" s="142"/>
      <c r="J149" s="142"/>
    </row>
    <row r="150" spans="1:10" s="143" customFormat="1" ht="20.25" customHeight="1" hidden="1">
      <c r="A150" s="142">
        <v>1</v>
      </c>
      <c r="B150" s="143" t="s">
        <v>18</v>
      </c>
      <c r="C150" s="143" t="str">
        <f>IF(B149&lt;3," (Telugu)"," ")</f>
        <v> </v>
      </c>
      <c r="D150" s="143">
        <v>1</v>
      </c>
      <c r="E150" s="143" t="s">
        <v>25</v>
      </c>
      <c r="F150" s="143">
        <v>1</v>
      </c>
      <c r="G150" s="143">
        <v>10</v>
      </c>
      <c r="H150" s="142"/>
      <c r="J150" s="142"/>
    </row>
    <row r="151" spans="1:10" s="143" customFormat="1" ht="20.25" customHeight="1" hidden="1">
      <c r="A151" s="142">
        <v>2</v>
      </c>
      <c r="B151" s="143" t="s">
        <v>19</v>
      </c>
      <c r="C151" s="143" t="str">
        <f>IF(B149&lt;3," (Hindi)"," ")</f>
        <v> </v>
      </c>
      <c r="D151" s="143">
        <v>2</v>
      </c>
      <c r="E151" s="143" t="s">
        <v>26</v>
      </c>
      <c r="F151" s="143">
        <v>2</v>
      </c>
      <c r="G151" s="143">
        <v>12.5</v>
      </c>
      <c r="H151" s="142"/>
      <c r="J151" s="142"/>
    </row>
    <row r="152" spans="1:10" s="143" customFormat="1" ht="20.25" customHeight="1" hidden="1">
      <c r="A152" s="142">
        <v>3</v>
      </c>
      <c r="B152" s="143" t="s">
        <v>20</v>
      </c>
      <c r="C152" s="143" t="str">
        <f>IF(B149&lt;3," (Urdu)"," ")</f>
        <v> </v>
      </c>
      <c r="D152" s="143">
        <v>3</v>
      </c>
      <c r="E152" s="143" t="s">
        <v>27</v>
      </c>
      <c r="F152" s="143">
        <v>3</v>
      </c>
      <c r="G152" s="143">
        <v>20</v>
      </c>
      <c r="H152" s="142"/>
      <c r="J152" s="142"/>
    </row>
    <row r="153" spans="1:10" s="143" customFormat="1" ht="20.25" customHeight="1" hidden="1">
      <c r="A153" s="142">
        <v>4</v>
      </c>
      <c r="B153" s="143" t="s">
        <v>17</v>
      </c>
      <c r="C153" s="143" t="str">
        <f>IF(B149&lt;3," (                 )"," ")</f>
        <v> </v>
      </c>
      <c r="D153" s="143">
        <v>4</v>
      </c>
      <c r="E153" s="143" t="s">
        <v>28</v>
      </c>
      <c r="F153" s="143">
        <v>4</v>
      </c>
      <c r="G153" s="143">
        <v>30</v>
      </c>
      <c r="H153" s="142"/>
      <c r="J153" s="142"/>
    </row>
    <row r="154" spans="1:10" s="143" customFormat="1" ht="20.25" customHeight="1" hidden="1">
      <c r="A154" s="142">
        <v>5</v>
      </c>
      <c r="B154" s="143" t="s">
        <v>21</v>
      </c>
      <c r="C154" s="143" t="str">
        <f>IF(B149=1," (English)"," ")</f>
        <v> </v>
      </c>
      <c r="D154" s="143">
        <v>5</v>
      </c>
      <c r="E154" s="143" t="s">
        <v>29</v>
      </c>
      <c r="H154" s="142"/>
      <c r="J154" s="142"/>
    </row>
    <row r="155" spans="1:10" s="143" customFormat="1" ht="20.25" customHeight="1" hidden="1">
      <c r="A155" s="142">
        <v>6</v>
      </c>
      <c r="C155" s="143" t="str">
        <f>IF(B149=1," (Maths)"," ")</f>
        <v> </v>
      </c>
      <c r="D155" s="143">
        <v>6</v>
      </c>
      <c r="E155" s="143" t="s">
        <v>30</v>
      </c>
      <c r="H155" s="142"/>
      <c r="J155" s="142"/>
    </row>
    <row r="156" spans="1:10" s="143" customFormat="1" ht="20.25" customHeight="1" hidden="1">
      <c r="A156" s="142">
        <v>7</v>
      </c>
      <c r="C156" s="143" t="str">
        <f>IF(B149=1," (Phy.Sci.)."," ")</f>
        <v> </v>
      </c>
      <c r="D156" s="143">
        <v>7</v>
      </c>
      <c r="E156" s="143" t="s">
        <v>31</v>
      </c>
      <c r="G156" s="143" t="str">
        <f>VLOOKUP(G157,F158:G164,2,0)</f>
        <v>January,11</v>
      </c>
      <c r="H156" s="142"/>
      <c r="J156" s="142"/>
    </row>
    <row r="157" spans="1:10" s="143" customFormat="1" ht="20.25" customHeight="1" hidden="1">
      <c r="A157" s="142">
        <v>8</v>
      </c>
      <c r="C157" s="143" t="str">
        <f>IF(B149=1," (Bio.Sci.)."," ")</f>
        <v> </v>
      </c>
      <c r="D157" s="143">
        <v>8</v>
      </c>
      <c r="E157" s="143" t="s">
        <v>32</v>
      </c>
      <c r="G157" s="143">
        <v>3</v>
      </c>
      <c r="H157" s="142"/>
      <c r="J157" s="142"/>
    </row>
    <row r="158" spans="1:10" s="143" customFormat="1" ht="20.25" customHeight="1" hidden="1">
      <c r="A158" s="142">
        <v>9</v>
      </c>
      <c r="C158" s="143" t="str">
        <f>IF(B149=1," (Social)."," ")</f>
        <v> </v>
      </c>
      <c r="D158" s="143">
        <v>9</v>
      </c>
      <c r="E158" s="143" t="s">
        <v>33</v>
      </c>
      <c r="F158" s="143">
        <v>1</v>
      </c>
      <c r="G158" s="143" t="s">
        <v>54</v>
      </c>
      <c r="H158" s="142"/>
      <c r="J158" s="142"/>
    </row>
    <row r="159" spans="1:10" s="143" customFormat="1" ht="20.25" customHeight="1" hidden="1">
      <c r="A159" s="142">
        <v>10</v>
      </c>
      <c r="C159" s="143" t="str">
        <f>IF(B149=1," (Phy.Edn.)."," ")</f>
        <v> </v>
      </c>
      <c r="D159" s="143">
        <v>10</v>
      </c>
      <c r="E159" s="143" t="s">
        <v>34</v>
      </c>
      <c r="F159" s="143">
        <v>2</v>
      </c>
      <c r="G159" s="143" t="s">
        <v>55</v>
      </c>
      <c r="H159" s="142"/>
      <c r="J159" s="142"/>
    </row>
    <row r="160" spans="1:10" s="143" customFormat="1" ht="20.25" customHeight="1" hidden="1">
      <c r="A160" s="142"/>
      <c r="D160" s="143">
        <v>11</v>
      </c>
      <c r="E160" s="143" t="s">
        <v>35</v>
      </c>
      <c r="F160" s="143">
        <v>3</v>
      </c>
      <c r="G160" s="143" t="s">
        <v>56</v>
      </c>
      <c r="H160" s="142"/>
      <c r="J160" s="142"/>
    </row>
    <row r="161" spans="1:10" s="143" customFormat="1" ht="20.25" customHeight="1" hidden="1">
      <c r="A161" s="142"/>
      <c r="B161" s="143" t="str">
        <f>VLOOKUP(B162,A163:B168,2,0)</f>
        <v>Mandal Eduacational Officer</v>
      </c>
      <c r="D161" s="143">
        <v>12</v>
      </c>
      <c r="E161" s="143" t="s">
        <v>36</v>
      </c>
      <c r="F161" s="143">
        <v>4</v>
      </c>
      <c r="G161" s="143" t="s">
        <v>57</v>
      </c>
      <c r="H161" s="142"/>
      <c r="J161" s="142"/>
    </row>
    <row r="162" spans="1:10" s="143" customFormat="1" ht="20.25" customHeight="1" hidden="1">
      <c r="A162" s="142"/>
      <c r="B162" s="144">
        <v>1</v>
      </c>
      <c r="D162" s="143">
        <v>13</v>
      </c>
      <c r="E162" s="143" t="s">
        <v>37</v>
      </c>
      <c r="F162" s="143">
        <v>5</v>
      </c>
      <c r="G162" s="143" t="s">
        <v>58</v>
      </c>
      <c r="H162" s="142"/>
      <c r="J162" s="142"/>
    </row>
    <row r="163" spans="1:10" s="143" customFormat="1" ht="20.25" customHeight="1" hidden="1">
      <c r="A163" s="142">
        <v>1</v>
      </c>
      <c r="B163" s="143" t="s">
        <v>47</v>
      </c>
      <c r="D163" s="143">
        <v>14</v>
      </c>
      <c r="E163" s="143" t="s">
        <v>38</v>
      </c>
      <c r="F163" s="143">
        <v>6</v>
      </c>
      <c r="G163" s="143" t="s">
        <v>59</v>
      </c>
      <c r="H163" s="142"/>
      <c r="J163" s="142"/>
    </row>
    <row r="164" spans="1:10" s="143" customFormat="1" ht="20.25" customHeight="1" hidden="1">
      <c r="A164" s="142">
        <v>2</v>
      </c>
      <c r="B164" s="143" t="s">
        <v>48</v>
      </c>
      <c r="D164" s="143">
        <v>15</v>
      </c>
      <c r="E164" s="143" t="s">
        <v>39</v>
      </c>
      <c r="F164" s="143">
        <v>7</v>
      </c>
      <c r="G164" s="143" t="s">
        <v>53</v>
      </c>
      <c r="H164" s="142"/>
      <c r="J164" s="142"/>
    </row>
    <row r="165" spans="1:10" s="143" customFormat="1" ht="20.25" customHeight="1" hidden="1">
      <c r="A165" s="142">
        <v>3</v>
      </c>
      <c r="B165" s="143" t="s">
        <v>49</v>
      </c>
      <c r="D165" s="143">
        <v>16</v>
      </c>
      <c r="E165" s="143" t="s">
        <v>40</v>
      </c>
      <c r="H165" s="142"/>
      <c r="J165" s="142"/>
    </row>
    <row r="166" spans="1:10" s="143" customFormat="1" ht="20.25" customHeight="1" hidden="1">
      <c r="A166" s="142">
        <v>4</v>
      </c>
      <c r="B166" s="143" t="s">
        <v>50</v>
      </c>
      <c r="D166" s="143">
        <v>17</v>
      </c>
      <c r="E166" s="143" t="s">
        <v>41</v>
      </c>
      <c r="H166" s="142"/>
      <c r="J166" s="142"/>
    </row>
    <row r="167" spans="1:10" s="143" customFormat="1" ht="20.25" customHeight="1" hidden="1">
      <c r="A167" s="142">
        <v>5</v>
      </c>
      <c r="B167" s="143" t="s">
        <v>51</v>
      </c>
      <c r="D167" s="143">
        <v>18</v>
      </c>
      <c r="E167" s="143" t="s">
        <v>42</v>
      </c>
      <c r="H167" s="142"/>
      <c r="J167" s="142"/>
    </row>
    <row r="168" spans="1:10" s="143" customFormat="1" ht="20.25" customHeight="1" hidden="1">
      <c r="A168" s="142">
        <v>6</v>
      </c>
      <c r="B168" s="143" t="s">
        <v>52</v>
      </c>
      <c r="D168" s="143">
        <v>19</v>
      </c>
      <c r="E168" s="143" t="s">
        <v>43</v>
      </c>
      <c r="H168" s="142"/>
      <c r="J168" s="142"/>
    </row>
    <row r="169" spans="1:10" s="143" customFormat="1" ht="20.25" customHeight="1" hidden="1">
      <c r="A169" s="142"/>
      <c r="D169" s="143">
        <v>20</v>
      </c>
      <c r="E169" s="143" t="s">
        <v>44</v>
      </c>
      <c r="H169" s="142"/>
      <c r="J169" s="142"/>
    </row>
    <row r="170" spans="1:10" s="143" customFormat="1" ht="20.25" customHeight="1" hidden="1">
      <c r="A170" s="142"/>
      <c r="D170" s="143">
        <v>21</v>
      </c>
      <c r="E170" s="143" t="s">
        <v>45</v>
      </c>
      <c r="H170" s="142"/>
      <c r="J170" s="142"/>
    </row>
    <row r="171" spans="1:10" s="143" customFormat="1" ht="20.25" customHeight="1" hidden="1">
      <c r="A171" s="142"/>
      <c r="B171" s="143" t="str">
        <f>IF(B162=1,"MEO","H.M")</f>
        <v>MEO</v>
      </c>
      <c r="H171" s="142"/>
      <c r="J171" s="142"/>
    </row>
    <row r="172" spans="1:10" s="143" customFormat="1" ht="20.25" customHeight="1" hidden="1">
      <c r="A172" s="142"/>
      <c r="B172" s="143" t="str">
        <f>IF(B162&gt;1,D5,CONCATENATE("M.P ",D6))</f>
        <v>M.P Domakonda</v>
      </c>
      <c r="H172" s="142"/>
      <c r="J172" s="142"/>
    </row>
    <row r="173" spans="1:10" s="143" customFormat="1" ht="20.25" customHeight="1" hidden="1">
      <c r="A173" s="142"/>
      <c r="C173" s="143">
        <v>2</v>
      </c>
      <c r="H173" s="142"/>
      <c r="J173" s="142"/>
    </row>
    <row r="174" spans="1:10" s="143" customFormat="1" ht="20.25" customHeight="1" hidden="1">
      <c r="A174" s="142"/>
      <c r="B174" s="143">
        <v>1</v>
      </c>
      <c r="C174" s="143" t="s">
        <v>418</v>
      </c>
      <c r="H174" s="142"/>
      <c r="J174" s="142"/>
    </row>
    <row r="175" spans="1:10" s="143" customFormat="1" ht="20.25" customHeight="1" hidden="1">
      <c r="A175" s="142"/>
      <c r="B175" s="143">
        <v>2</v>
      </c>
      <c r="C175" s="143" t="s">
        <v>419</v>
      </c>
      <c r="H175" s="142"/>
      <c r="J175" s="142"/>
    </row>
    <row r="176" spans="1:10" s="143" customFormat="1" ht="20.25" customHeight="1" hidden="1">
      <c r="A176" s="142"/>
      <c r="H176" s="142"/>
      <c r="J176" s="142"/>
    </row>
    <row r="177" spans="1:10" s="143" customFormat="1" ht="20.25" customHeight="1" hidden="1">
      <c r="A177" s="142"/>
      <c r="H177" s="142"/>
      <c r="J177" s="142"/>
    </row>
    <row r="178" spans="1:10" s="143" customFormat="1" ht="20.25" customHeight="1" hidden="1">
      <c r="A178" s="142"/>
      <c r="H178" s="142"/>
      <c r="J178" s="142"/>
    </row>
    <row r="179" spans="1:10" s="143" customFormat="1" ht="20.25" customHeight="1" hidden="1">
      <c r="A179" s="142"/>
      <c r="H179" s="142"/>
      <c r="J179" s="142"/>
    </row>
    <row r="180" spans="1:10" s="143" customFormat="1" ht="20.25" customHeight="1" hidden="1">
      <c r="A180" s="145">
        <v>1</v>
      </c>
      <c r="B180" s="143" t="s">
        <v>66</v>
      </c>
      <c r="C180" s="146" t="s">
        <v>84</v>
      </c>
      <c r="D180" s="143" t="str">
        <f>CONCATENATE(B180,",",C180)</f>
        <v>July,2008</v>
      </c>
      <c r="E180" s="146" t="s">
        <v>76</v>
      </c>
      <c r="F180" s="143">
        <v>1</v>
      </c>
      <c r="H180" s="142"/>
      <c r="J180" s="142"/>
    </row>
    <row r="181" spans="1:10" s="143" customFormat="1" ht="20.25" customHeight="1" hidden="1">
      <c r="A181" s="145">
        <v>2</v>
      </c>
      <c r="B181" s="143" t="s">
        <v>67</v>
      </c>
      <c r="C181" s="146" t="s">
        <v>84</v>
      </c>
      <c r="D181" s="143" t="str">
        <f aca="true" t="shared" si="0" ref="D181:D221">CONCATENATE(B181,",",C181)</f>
        <v>August,2008</v>
      </c>
      <c r="E181" s="146" t="s">
        <v>72</v>
      </c>
      <c r="F181" s="143">
        <v>2</v>
      </c>
      <c r="H181" s="142"/>
      <c r="J181" s="142"/>
    </row>
    <row r="182" spans="1:10" s="143" customFormat="1" ht="20.25" customHeight="1" hidden="1">
      <c r="A182" s="145">
        <v>3</v>
      </c>
      <c r="B182" s="143" t="s">
        <v>68</v>
      </c>
      <c r="C182" s="146" t="s">
        <v>84</v>
      </c>
      <c r="D182" s="143" t="str">
        <f t="shared" si="0"/>
        <v>September,2008</v>
      </c>
      <c r="E182" s="146" t="s">
        <v>73</v>
      </c>
      <c r="F182" s="143">
        <v>3</v>
      </c>
      <c r="H182" s="142"/>
      <c r="J182" s="142"/>
    </row>
    <row r="183" spans="1:10" s="143" customFormat="1" ht="20.25" customHeight="1" hidden="1">
      <c r="A183" s="145">
        <v>4</v>
      </c>
      <c r="B183" s="143" t="s">
        <v>69</v>
      </c>
      <c r="C183" s="146" t="s">
        <v>84</v>
      </c>
      <c r="D183" s="143" t="str">
        <f t="shared" si="0"/>
        <v>October,2008</v>
      </c>
      <c r="E183" s="146" t="s">
        <v>74</v>
      </c>
      <c r="F183" s="143">
        <v>4</v>
      </c>
      <c r="H183" s="142"/>
      <c r="J183" s="142"/>
    </row>
    <row r="184" spans="1:10" s="143" customFormat="1" ht="20.25" customHeight="1" hidden="1">
      <c r="A184" s="145">
        <v>5</v>
      </c>
      <c r="B184" s="143" t="s">
        <v>70</v>
      </c>
      <c r="C184" s="146" t="s">
        <v>84</v>
      </c>
      <c r="D184" s="143" t="str">
        <f t="shared" si="0"/>
        <v>November,2008</v>
      </c>
      <c r="E184" s="146" t="s">
        <v>75</v>
      </c>
      <c r="F184" s="143">
        <v>5</v>
      </c>
      <c r="H184" s="142"/>
      <c r="J184" s="142"/>
    </row>
    <row r="185" spans="1:10" s="143" customFormat="1" ht="20.25" customHeight="1" hidden="1">
      <c r="A185" s="145">
        <v>6</v>
      </c>
      <c r="B185" s="143" t="s">
        <v>71</v>
      </c>
      <c r="C185" s="146" t="s">
        <v>84</v>
      </c>
      <c r="D185" s="143" t="str">
        <f t="shared" si="0"/>
        <v>December,2008</v>
      </c>
      <c r="E185" s="146" t="s">
        <v>77</v>
      </c>
      <c r="F185" s="143">
        <v>6</v>
      </c>
      <c r="H185" s="142"/>
      <c r="J185" s="142"/>
    </row>
    <row r="186" spans="1:10" s="143" customFormat="1" ht="20.25" customHeight="1" hidden="1">
      <c r="A186" s="145">
        <v>7</v>
      </c>
      <c r="B186" s="143" t="s">
        <v>60</v>
      </c>
      <c r="C186" s="146" t="s">
        <v>85</v>
      </c>
      <c r="D186" s="143" t="str">
        <f t="shared" si="0"/>
        <v>January,2009</v>
      </c>
      <c r="E186" s="146" t="s">
        <v>78</v>
      </c>
      <c r="F186" s="143">
        <v>7</v>
      </c>
      <c r="H186" s="142"/>
      <c r="J186" s="142"/>
    </row>
    <row r="187" spans="1:10" s="143" customFormat="1" ht="20.25" customHeight="1" hidden="1">
      <c r="A187" s="145">
        <v>8</v>
      </c>
      <c r="B187" s="143" t="s">
        <v>61</v>
      </c>
      <c r="C187" s="146" t="s">
        <v>85</v>
      </c>
      <c r="D187" s="143" t="str">
        <f t="shared" si="0"/>
        <v>February,2009</v>
      </c>
      <c r="E187" s="146" t="s">
        <v>79</v>
      </c>
      <c r="F187" s="143">
        <v>8</v>
      </c>
      <c r="H187" s="142"/>
      <c r="J187" s="142"/>
    </row>
    <row r="188" spans="1:10" s="143" customFormat="1" ht="20.25" customHeight="1" hidden="1">
      <c r="A188" s="145">
        <v>9</v>
      </c>
      <c r="B188" s="143" t="s">
        <v>62</v>
      </c>
      <c r="C188" s="146" t="s">
        <v>85</v>
      </c>
      <c r="D188" s="143" t="str">
        <f t="shared" si="0"/>
        <v>March,2009</v>
      </c>
      <c r="E188" s="146" t="s">
        <v>80</v>
      </c>
      <c r="F188" s="143">
        <v>9</v>
      </c>
      <c r="H188" s="142"/>
      <c r="J188" s="142"/>
    </row>
    <row r="189" spans="1:10" s="143" customFormat="1" ht="20.25" customHeight="1" hidden="1">
      <c r="A189" s="145">
        <v>10</v>
      </c>
      <c r="B189" s="143" t="s">
        <v>63</v>
      </c>
      <c r="C189" s="146" t="s">
        <v>85</v>
      </c>
      <c r="D189" s="143" t="str">
        <f t="shared" si="0"/>
        <v>April,2009</v>
      </c>
      <c r="E189" s="146" t="s">
        <v>81</v>
      </c>
      <c r="F189" s="143">
        <v>10</v>
      </c>
      <c r="H189" s="142"/>
      <c r="J189" s="142"/>
    </row>
    <row r="190" spans="1:10" s="143" customFormat="1" ht="20.25" customHeight="1" hidden="1">
      <c r="A190" s="145">
        <v>11</v>
      </c>
      <c r="B190" s="143" t="s">
        <v>64</v>
      </c>
      <c r="C190" s="146" t="s">
        <v>85</v>
      </c>
      <c r="D190" s="143" t="str">
        <f t="shared" si="0"/>
        <v>May,2009</v>
      </c>
      <c r="E190" s="146" t="s">
        <v>82</v>
      </c>
      <c r="F190" s="143">
        <v>11</v>
      </c>
      <c r="H190" s="142"/>
      <c r="J190" s="142"/>
    </row>
    <row r="191" spans="1:10" s="143" customFormat="1" ht="20.25" customHeight="1" hidden="1">
      <c r="A191" s="145">
        <v>12</v>
      </c>
      <c r="B191" s="143" t="s">
        <v>65</v>
      </c>
      <c r="C191" s="146" t="s">
        <v>85</v>
      </c>
      <c r="D191" s="143" t="str">
        <f t="shared" si="0"/>
        <v>June,2009</v>
      </c>
      <c r="E191" s="146" t="s">
        <v>83</v>
      </c>
      <c r="F191" s="143">
        <v>12</v>
      </c>
      <c r="H191" s="142"/>
      <c r="J191" s="142"/>
    </row>
    <row r="192" spans="1:10" s="143" customFormat="1" ht="20.25" customHeight="1" hidden="1">
      <c r="A192" s="145">
        <v>13</v>
      </c>
      <c r="B192" s="143" t="s">
        <v>66</v>
      </c>
      <c r="C192" s="146" t="s">
        <v>85</v>
      </c>
      <c r="D192" s="143" t="str">
        <f t="shared" si="0"/>
        <v>July,2009</v>
      </c>
      <c r="F192" s="143">
        <v>13</v>
      </c>
      <c r="H192" s="142"/>
      <c r="J192" s="142"/>
    </row>
    <row r="193" spans="1:10" s="143" customFormat="1" ht="20.25" customHeight="1" hidden="1">
      <c r="A193" s="145">
        <v>14</v>
      </c>
      <c r="B193" s="143" t="s">
        <v>67</v>
      </c>
      <c r="C193" s="146" t="s">
        <v>85</v>
      </c>
      <c r="D193" s="143" t="str">
        <f t="shared" si="0"/>
        <v>August,2009</v>
      </c>
      <c r="F193" s="143">
        <v>14</v>
      </c>
      <c r="H193" s="142"/>
      <c r="J193" s="142"/>
    </row>
    <row r="194" spans="1:10" s="143" customFormat="1" ht="20.25" customHeight="1" hidden="1">
      <c r="A194" s="145">
        <v>15</v>
      </c>
      <c r="B194" s="143" t="s">
        <v>68</v>
      </c>
      <c r="C194" s="146" t="s">
        <v>85</v>
      </c>
      <c r="D194" s="143" t="str">
        <f t="shared" si="0"/>
        <v>September,2009</v>
      </c>
      <c r="F194" s="143">
        <v>15</v>
      </c>
      <c r="H194" s="142"/>
      <c r="J194" s="142"/>
    </row>
    <row r="195" spans="1:10" s="143" customFormat="1" ht="20.25" customHeight="1" hidden="1">
      <c r="A195" s="145">
        <v>16</v>
      </c>
      <c r="B195" s="143" t="s">
        <v>69</v>
      </c>
      <c r="C195" s="146" t="s">
        <v>85</v>
      </c>
      <c r="D195" s="143" t="str">
        <f t="shared" si="0"/>
        <v>October,2009</v>
      </c>
      <c r="F195" s="143">
        <v>16</v>
      </c>
      <c r="H195" s="142"/>
      <c r="J195" s="142"/>
    </row>
    <row r="196" spans="1:10" s="143" customFormat="1" ht="20.25" customHeight="1" hidden="1">
      <c r="A196" s="145">
        <v>17</v>
      </c>
      <c r="B196" s="143" t="s">
        <v>70</v>
      </c>
      <c r="C196" s="146" t="s">
        <v>85</v>
      </c>
      <c r="D196" s="143" t="str">
        <f t="shared" si="0"/>
        <v>November,2009</v>
      </c>
      <c r="F196" s="143">
        <v>17</v>
      </c>
      <c r="H196" s="142"/>
      <c r="J196" s="142"/>
    </row>
    <row r="197" spans="1:10" s="143" customFormat="1" ht="20.25" customHeight="1" hidden="1">
      <c r="A197" s="145">
        <v>18</v>
      </c>
      <c r="B197" s="143" t="s">
        <v>71</v>
      </c>
      <c r="C197" s="146" t="s">
        <v>85</v>
      </c>
      <c r="D197" s="143" t="str">
        <f t="shared" si="0"/>
        <v>December,2009</v>
      </c>
      <c r="F197" s="143">
        <v>18</v>
      </c>
      <c r="H197" s="142"/>
      <c r="J197" s="142"/>
    </row>
    <row r="198" spans="1:10" s="143" customFormat="1" ht="20.25" customHeight="1" hidden="1">
      <c r="A198" s="145">
        <v>19</v>
      </c>
      <c r="B198" s="143" t="s">
        <v>60</v>
      </c>
      <c r="C198" s="146" t="s">
        <v>86</v>
      </c>
      <c r="D198" s="143" t="str">
        <f t="shared" si="0"/>
        <v>January,2010</v>
      </c>
      <c r="F198" s="143">
        <v>19</v>
      </c>
      <c r="H198" s="142"/>
      <c r="J198" s="142"/>
    </row>
    <row r="199" spans="1:10" s="143" customFormat="1" ht="20.25" customHeight="1" hidden="1">
      <c r="A199" s="145">
        <v>20</v>
      </c>
      <c r="B199" s="143" t="s">
        <v>61</v>
      </c>
      <c r="C199" s="146" t="s">
        <v>86</v>
      </c>
      <c r="D199" s="143" t="str">
        <f t="shared" si="0"/>
        <v>February,2010</v>
      </c>
      <c r="F199" s="143">
        <v>20</v>
      </c>
      <c r="H199" s="142"/>
      <c r="J199" s="142"/>
    </row>
    <row r="200" spans="1:10" s="143" customFormat="1" ht="20.25" customHeight="1" hidden="1">
      <c r="A200" s="145">
        <v>21</v>
      </c>
      <c r="B200" s="143" t="s">
        <v>62</v>
      </c>
      <c r="C200" s="146" t="s">
        <v>86</v>
      </c>
      <c r="D200" s="143" t="str">
        <f t="shared" si="0"/>
        <v>March,2010</v>
      </c>
      <c r="F200" s="143">
        <v>21</v>
      </c>
      <c r="H200" s="142"/>
      <c r="J200" s="142"/>
    </row>
    <row r="201" spans="1:10" s="143" customFormat="1" ht="20.25" customHeight="1" hidden="1">
      <c r="A201" s="145">
        <v>22</v>
      </c>
      <c r="B201" s="143" t="s">
        <v>63</v>
      </c>
      <c r="C201" s="146" t="s">
        <v>86</v>
      </c>
      <c r="D201" s="143" t="str">
        <f t="shared" si="0"/>
        <v>April,2010</v>
      </c>
      <c r="F201" s="143">
        <v>22</v>
      </c>
      <c r="H201" s="142"/>
      <c r="J201" s="142"/>
    </row>
    <row r="202" spans="1:10" s="143" customFormat="1" ht="20.25" customHeight="1" hidden="1">
      <c r="A202" s="145">
        <v>23</v>
      </c>
      <c r="B202" s="143" t="s">
        <v>64</v>
      </c>
      <c r="C202" s="146" t="s">
        <v>86</v>
      </c>
      <c r="D202" s="143" t="str">
        <f t="shared" si="0"/>
        <v>May,2010</v>
      </c>
      <c r="F202" s="143">
        <v>23</v>
      </c>
      <c r="H202" s="142"/>
      <c r="J202" s="142"/>
    </row>
    <row r="203" spans="1:10" s="143" customFormat="1" ht="20.25" customHeight="1" hidden="1">
      <c r="A203" s="145">
        <v>24</v>
      </c>
      <c r="B203" s="143" t="s">
        <v>65</v>
      </c>
      <c r="C203" s="146" t="s">
        <v>86</v>
      </c>
      <c r="D203" s="143" t="str">
        <f t="shared" si="0"/>
        <v>June,2010</v>
      </c>
      <c r="F203" s="143">
        <v>24</v>
      </c>
      <c r="H203" s="142"/>
      <c r="J203" s="142"/>
    </row>
    <row r="204" spans="1:10" s="143" customFormat="1" ht="20.25" customHeight="1" hidden="1">
      <c r="A204" s="145">
        <v>25</v>
      </c>
      <c r="B204" s="143" t="s">
        <v>66</v>
      </c>
      <c r="C204" s="146" t="s">
        <v>86</v>
      </c>
      <c r="D204" s="143" t="str">
        <f t="shared" si="0"/>
        <v>July,2010</v>
      </c>
      <c r="F204" s="143">
        <v>25</v>
      </c>
      <c r="H204" s="142"/>
      <c r="J204" s="142"/>
    </row>
    <row r="205" spans="1:10" s="143" customFormat="1" ht="20.25" customHeight="1" hidden="1">
      <c r="A205" s="145">
        <v>26</v>
      </c>
      <c r="B205" s="143" t="s">
        <v>67</v>
      </c>
      <c r="C205" s="146" t="s">
        <v>86</v>
      </c>
      <c r="D205" s="143" t="str">
        <f t="shared" si="0"/>
        <v>August,2010</v>
      </c>
      <c r="F205" s="143">
        <v>26</v>
      </c>
      <c r="H205" s="142"/>
      <c r="J205" s="142"/>
    </row>
    <row r="206" spans="1:10" s="143" customFormat="1" ht="20.25" customHeight="1" hidden="1">
      <c r="A206" s="145">
        <v>27</v>
      </c>
      <c r="B206" s="143" t="s">
        <v>68</v>
      </c>
      <c r="C206" s="146" t="s">
        <v>86</v>
      </c>
      <c r="D206" s="143" t="str">
        <f t="shared" si="0"/>
        <v>September,2010</v>
      </c>
      <c r="F206" s="143">
        <v>27</v>
      </c>
      <c r="H206" s="142"/>
      <c r="J206" s="142"/>
    </row>
    <row r="207" spans="1:10" s="143" customFormat="1" ht="20.25" customHeight="1" hidden="1">
      <c r="A207" s="145">
        <v>28</v>
      </c>
      <c r="B207" s="143" t="s">
        <v>69</v>
      </c>
      <c r="C207" s="146" t="s">
        <v>86</v>
      </c>
      <c r="D207" s="143" t="str">
        <f t="shared" si="0"/>
        <v>October,2010</v>
      </c>
      <c r="F207" s="143">
        <v>28</v>
      </c>
      <c r="H207" s="142"/>
      <c r="J207" s="142"/>
    </row>
    <row r="208" spans="1:10" s="143" customFormat="1" ht="20.25" customHeight="1" hidden="1">
      <c r="A208" s="145">
        <v>29</v>
      </c>
      <c r="B208" s="143" t="s">
        <v>70</v>
      </c>
      <c r="C208" s="146" t="s">
        <v>86</v>
      </c>
      <c r="D208" s="143" t="str">
        <f t="shared" si="0"/>
        <v>November,2010</v>
      </c>
      <c r="F208" s="143">
        <v>29</v>
      </c>
      <c r="H208" s="142"/>
      <c r="J208" s="142"/>
    </row>
    <row r="209" spans="1:10" s="143" customFormat="1" ht="20.25" customHeight="1" hidden="1">
      <c r="A209" s="145">
        <v>30</v>
      </c>
      <c r="B209" s="143" t="s">
        <v>71</v>
      </c>
      <c r="C209" s="146" t="s">
        <v>86</v>
      </c>
      <c r="D209" s="143" t="str">
        <f t="shared" si="0"/>
        <v>December,2010</v>
      </c>
      <c r="F209" s="143">
        <v>30</v>
      </c>
      <c r="H209" s="142"/>
      <c r="J209" s="142"/>
    </row>
    <row r="210" spans="1:10" s="143" customFormat="1" ht="20.25" customHeight="1" hidden="1">
      <c r="A210" s="145">
        <v>31</v>
      </c>
      <c r="B210" s="143" t="s">
        <v>60</v>
      </c>
      <c r="C210" s="146" t="s">
        <v>87</v>
      </c>
      <c r="D210" s="143" t="str">
        <f t="shared" si="0"/>
        <v>January,2011</v>
      </c>
      <c r="F210" s="143">
        <v>31</v>
      </c>
      <c r="H210" s="142"/>
      <c r="J210" s="142"/>
    </row>
    <row r="211" spans="1:10" s="143" customFormat="1" ht="20.25" customHeight="1" hidden="1">
      <c r="A211" s="145">
        <v>32</v>
      </c>
      <c r="B211" s="143" t="s">
        <v>61</v>
      </c>
      <c r="C211" s="146" t="s">
        <v>87</v>
      </c>
      <c r="D211" s="143" t="str">
        <f t="shared" si="0"/>
        <v>February,2011</v>
      </c>
      <c r="F211" s="143">
        <v>32</v>
      </c>
      <c r="H211" s="142"/>
      <c r="J211" s="142"/>
    </row>
    <row r="212" spans="1:10" s="143" customFormat="1" ht="20.25" customHeight="1" hidden="1">
      <c r="A212" s="145">
        <v>33</v>
      </c>
      <c r="B212" s="143" t="s">
        <v>62</v>
      </c>
      <c r="C212" s="146" t="s">
        <v>87</v>
      </c>
      <c r="D212" s="143" t="str">
        <f t="shared" si="0"/>
        <v>March,2011</v>
      </c>
      <c r="F212" s="143">
        <v>33</v>
      </c>
      <c r="H212" s="142"/>
      <c r="J212" s="142"/>
    </row>
    <row r="213" spans="1:10" s="143" customFormat="1" ht="20.25" customHeight="1" hidden="1">
      <c r="A213" s="145">
        <v>34</v>
      </c>
      <c r="B213" s="143" t="s">
        <v>63</v>
      </c>
      <c r="C213" s="146" t="s">
        <v>87</v>
      </c>
      <c r="D213" s="143" t="str">
        <f t="shared" si="0"/>
        <v>April,2011</v>
      </c>
      <c r="F213" s="143">
        <v>34</v>
      </c>
      <c r="H213" s="142"/>
      <c r="J213" s="142"/>
    </row>
    <row r="214" spans="1:10" s="143" customFormat="1" ht="20.25" customHeight="1" hidden="1">
      <c r="A214" s="145">
        <v>35</v>
      </c>
      <c r="B214" s="143" t="s">
        <v>64</v>
      </c>
      <c r="C214" s="146" t="s">
        <v>87</v>
      </c>
      <c r="D214" s="143" t="str">
        <f t="shared" si="0"/>
        <v>May,2011</v>
      </c>
      <c r="F214" s="143">
        <v>35</v>
      </c>
      <c r="H214" s="142"/>
      <c r="J214" s="142"/>
    </row>
    <row r="215" spans="1:10" s="143" customFormat="1" ht="20.25" customHeight="1" hidden="1">
      <c r="A215" s="145">
        <v>36</v>
      </c>
      <c r="B215" s="143" t="s">
        <v>65</v>
      </c>
      <c r="C215" s="146" t="s">
        <v>87</v>
      </c>
      <c r="D215" s="143" t="str">
        <f t="shared" si="0"/>
        <v>June,2011</v>
      </c>
      <c r="F215" s="143">
        <v>36</v>
      </c>
      <c r="H215" s="142"/>
      <c r="J215" s="142"/>
    </row>
    <row r="216" spans="1:10" s="143" customFormat="1" ht="20.25" customHeight="1" hidden="1">
      <c r="A216" s="145">
        <v>37</v>
      </c>
      <c r="D216" s="143" t="str">
        <f t="shared" si="0"/>
        <v>,</v>
      </c>
      <c r="F216" s="143">
        <v>37</v>
      </c>
      <c r="H216" s="142"/>
      <c r="J216" s="142"/>
    </row>
    <row r="217" spans="1:10" s="143" customFormat="1" ht="20.25" customHeight="1" hidden="1">
      <c r="A217" s="145">
        <v>38</v>
      </c>
      <c r="D217" s="143" t="str">
        <f t="shared" si="0"/>
        <v>,</v>
      </c>
      <c r="F217" s="143">
        <v>38</v>
      </c>
      <c r="H217" s="142"/>
      <c r="J217" s="142"/>
    </row>
    <row r="218" spans="1:10" s="143" customFormat="1" ht="20.25" customHeight="1" hidden="1">
      <c r="A218" s="145">
        <v>39</v>
      </c>
      <c r="D218" s="143" t="str">
        <f t="shared" si="0"/>
        <v>,</v>
      </c>
      <c r="F218" s="143">
        <v>39</v>
      </c>
      <c r="H218" s="142"/>
      <c r="J218" s="142"/>
    </row>
    <row r="219" spans="1:10" s="143" customFormat="1" ht="20.25" customHeight="1" hidden="1">
      <c r="A219" s="145">
        <v>40</v>
      </c>
      <c r="D219" s="143" t="str">
        <f t="shared" si="0"/>
        <v>,</v>
      </c>
      <c r="F219" s="143">
        <v>40</v>
      </c>
      <c r="H219" s="142"/>
      <c r="J219" s="142"/>
    </row>
    <row r="220" spans="1:10" s="143" customFormat="1" ht="20.25" customHeight="1" hidden="1">
      <c r="A220" s="145">
        <v>41</v>
      </c>
      <c r="D220" s="143" t="str">
        <f t="shared" si="0"/>
        <v>,</v>
      </c>
      <c r="F220" s="143">
        <v>41</v>
      </c>
      <c r="H220" s="142"/>
      <c r="J220" s="142"/>
    </row>
    <row r="221" spans="1:10" s="143" customFormat="1" ht="20.25" customHeight="1" hidden="1">
      <c r="A221" s="145">
        <v>42</v>
      </c>
      <c r="D221" s="143" t="str">
        <f t="shared" si="0"/>
        <v>,</v>
      </c>
      <c r="F221" s="143">
        <v>42</v>
      </c>
      <c r="H221" s="142"/>
      <c r="J221" s="142"/>
    </row>
    <row r="222" spans="1:10" s="143" customFormat="1" ht="20.25" customHeight="1" hidden="1">
      <c r="A222" s="145"/>
      <c r="D222" s="143" t="s">
        <v>187</v>
      </c>
      <c r="F222" s="143">
        <v>50</v>
      </c>
      <c r="H222" s="142"/>
      <c r="J222" s="142"/>
    </row>
    <row r="223" spans="1:10" s="143" customFormat="1" ht="20.25" customHeight="1" hidden="1">
      <c r="A223" s="145"/>
      <c r="D223" s="143" t="s">
        <v>188</v>
      </c>
      <c r="F223" s="143">
        <v>50</v>
      </c>
      <c r="H223" s="142"/>
      <c r="J223" s="142"/>
    </row>
    <row r="224" spans="1:10" s="143" customFormat="1" ht="20.25" customHeight="1" hidden="1">
      <c r="A224" s="145"/>
      <c r="D224" s="143" t="s">
        <v>189</v>
      </c>
      <c r="F224" s="143">
        <v>50</v>
      </c>
      <c r="H224" s="142"/>
      <c r="J224" s="142"/>
    </row>
    <row r="225" spans="1:10" s="143" customFormat="1" ht="20.25" customHeight="1" hidden="1">
      <c r="A225" s="142"/>
      <c r="D225" s="143" t="s">
        <v>190</v>
      </c>
      <c r="F225" s="143">
        <v>50</v>
      </c>
      <c r="H225" s="142"/>
      <c r="J225" s="142"/>
    </row>
    <row r="226" spans="1:10" s="143" customFormat="1" ht="20.25" customHeight="1" hidden="1">
      <c r="A226" s="142"/>
      <c r="H226" s="142"/>
      <c r="J226" s="142"/>
    </row>
    <row r="227" spans="1:10" s="143" customFormat="1" ht="20.25" customHeight="1" hidden="1">
      <c r="A227" s="142"/>
      <c r="B227" s="147">
        <v>1</v>
      </c>
      <c r="C227" s="147">
        <v>1990</v>
      </c>
      <c r="D227" s="147">
        <v>18</v>
      </c>
      <c r="E227" s="147" t="str">
        <f>VLOOKUP(D233,A260:C271,3,0)</f>
        <v>01</v>
      </c>
      <c r="F227" s="147">
        <f>VLOOKUP(D239,B227:C243,2,0)</f>
        <v>2002</v>
      </c>
      <c r="G227" s="147" t="str">
        <f>CONCATENATE(D227,"/",E227,"/",F227)</f>
        <v>18/01/2002</v>
      </c>
      <c r="H227" s="142"/>
      <c r="J227" s="142"/>
    </row>
    <row r="228" spans="1:10" s="143" customFormat="1" ht="20.25" customHeight="1" hidden="1">
      <c r="A228" s="142"/>
      <c r="B228" s="147">
        <v>2</v>
      </c>
      <c r="C228" s="147">
        <v>1991</v>
      </c>
      <c r="D228" s="147">
        <v>18</v>
      </c>
      <c r="E228" s="147" t="str">
        <f>VLOOKUP(D234,A260:C271,3,0)</f>
        <v>01</v>
      </c>
      <c r="F228" s="147">
        <f>VLOOKUP(D240,B227:C243,2,0)</f>
        <v>2004</v>
      </c>
      <c r="G228" s="147" t="str">
        <f>CONCATENATE(D228,"/",E228,"/",F228)</f>
        <v>18/01/2004</v>
      </c>
      <c r="H228" s="142"/>
      <c r="J228" s="142"/>
    </row>
    <row r="229" spans="1:10" s="143" customFormat="1" ht="20.25" customHeight="1" hidden="1">
      <c r="A229" s="142"/>
      <c r="B229" s="147">
        <v>3</v>
      </c>
      <c r="C229" s="147">
        <v>1992</v>
      </c>
      <c r="D229" s="147"/>
      <c r="E229" s="147"/>
      <c r="F229" s="147"/>
      <c r="G229" s="147"/>
      <c r="H229" s="142"/>
      <c r="J229" s="142"/>
    </row>
    <row r="230" spans="1:10" s="143" customFormat="1" ht="20.25" customHeight="1" hidden="1">
      <c r="A230" s="142"/>
      <c r="B230" s="147">
        <v>4</v>
      </c>
      <c r="C230" s="147">
        <v>1993</v>
      </c>
      <c r="D230" s="147">
        <v>17</v>
      </c>
      <c r="E230" s="147" t="str">
        <f>VLOOKUP(D236,A260:C271,3,0)</f>
        <v>10</v>
      </c>
      <c r="F230" s="147">
        <f>VLOOKUP(D242,B227:C243,2,0)</f>
        <v>2002</v>
      </c>
      <c r="G230" s="147" t="str">
        <f>CONCATENATE(D230,"/",E230,"/",F230)</f>
        <v>17/10/2002</v>
      </c>
      <c r="H230" s="142"/>
      <c r="J230" s="142"/>
    </row>
    <row r="231" spans="1:10" s="143" customFormat="1" ht="20.25" customHeight="1" hidden="1">
      <c r="A231" s="142"/>
      <c r="B231" s="147">
        <v>5</v>
      </c>
      <c r="C231" s="147">
        <v>1994</v>
      </c>
      <c r="D231" s="147">
        <v>17</v>
      </c>
      <c r="E231" s="147" t="str">
        <f>VLOOKUP(D237,A260:C271,3,0)</f>
        <v>10</v>
      </c>
      <c r="F231" s="147">
        <f>VLOOKUP(D243,B227:C243,2,0)</f>
        <v>2004</v>
      </c>
      <c r="G231" s="147" t="str">
        <f>CONCATENATE(D231,"/",E231,"/",F231)</f>
        <v>17/10/2004</v>
      </c>
      <c r="H231" s="142"/>
      <c r="J231" s="142"/>
    </row>
    <row r="232" spans="1:10" s="143" customFormat="1" ht="20.25" customHeight="1" hidden="1">
      <c r="A232" s="142"/>
      <c r="B232" s="147">
        <v>6</v>
      </c>
      <c r="C232" s="147">
        <v>1995</v>
      </c>
      <c r="D232" s="147"/>
      <c r="E232" s="147"/>
      <c r="F232" s="147"/>
      <c r="G232" s="147"/>
      <c r="H232" s="142"/>
      <c r="J232" s="142"/>
    </row>
    <row r="233" spans="1:10" s="143" customFormat="1" ht="20.25" customHeight="1" hidden="1">
      <c r="A233" s="142"/>
      <c r="B233" s="147">
        <v>7</v>
      </c>
      <c r="C233" s="147">
        <v>1996</v>
      </c>
      <c r="D233" s="147">
        <v>1</v>
      </c>
      <c r="E233" s="147"/>
      <c r="F233" s="147"/>
      <c r="G233" s="147"/>
      <c r="H233" s="142"/>
      <c r="J233" s="142"/>
    </row>
    <row r="234" spans="1:10" s="143" customFormat="1" ht="20.25" customHeight="1" hidden="1">
      <c r="A234" s="142"/>
      <c r="B234" s="147">
        <v>8</v>
      </c>
      <c r="C234" s="147">
        <v>1997</v>
      </c>
      <c r="D234" s="147">
        <v>1</v>
      </c>
      <c r="E234" s="147"/>
      <c r="F234" s="147"/>
      <c r="G234" s="147"/>
      <c r="H234" s="142"/>
      <c r="J234" s="142"/>
    </row>
    <row r="235" spans="1:10" s="143" customFormat="1" ht="20.25" customHeight="1" hidden="1">
      <c r="A235" s="142"/>
      <c r="B235" s="147">
        <v>9</v>
      </c>
      <c r="C235" s="147">
        <v>1998</v>
      </c>
      <c r="D235" s="147"/>
      <c r="E235" s="147"/>
      <c r="F235" s="147"/>
      <c r="G235" s="147"/>
      <c r="H235" s="142"/>
      <c r="J235" s="142"/>
    </row>
    <row r="236" spans="1:10" s="143" customFormat="1" ht="20.25" customHeight="1" hidden="1">
      <c r="A236" s="142"/>
      <c r="B236" s="147">
        <v>10</v>
      </c>
      <c r="C236" s="147">
        <v>1999</v>
      </c>
      <c r="D236" s="147">
        <v>10</v>
      </c>
      <c r="E236" s="147">
        <v>1</v>
      </c>
      <c r="F236" s="147" t="str">
        <f>VLOOKUP(E236,A260:B272,2,0)</f>
        <v>January</v>
      </c>
      <c r="G236" s="147" t="str">
        <f aca="true" t="shared" si="1" ref="G236:G241">IF(AND(E236&lt;13),(CONCATENATE("1.",E236,".",E246))," ")</f>
        <v>1.1.2009</v>
      </c>
      <c r="H236" s="142"/>
      <c r="J236" s="142"/>
    </row>
    <row r="237" spans="1:10" s="143" customFormat="1" ht="20.25" customHeight="1" hidden="1">
      <c r="A237" s="142"/>
      <c r="B237" s="147">
        <v>11</v>
      </c>
      <c r="C237" s="147">
        <v>2000</v>
      </c>
      <c r="D237" s="147">
        <v>10</v>
      </c>
      <c r="E237" s="147">
        <v>1</v>
      </c>
      <c r="F237" s="147" t="str">
        <f>VLOOKUP(E237,A260:B271,2,0)</f>
        <v>January</v>
      </c>
      <c r="G237" s="147" t="str">
        <f t="shared" si="1"/>
        <v>1.1.2010</v>
      </c>
      <c r="H237" s="142"/>
      <c r="J237" s="142"/>
    </row>
    <row r="238" spans="1:10" s="143" customFormat="1" ht="20.25" customHeight="1" hidden="1">
      <c r="A238" s="142"/>
      <c r="B238" s="147">
        <v>12</v>
      </c>
      <c r="C238" s="147">
        <v>2001</v>
      </c>
      <c r="D238" s="147"/>
      <c r="E238" s="147">
        <v>13</v>
      </c>
      <c r="F238" s="147" t="str">
        <f>VLOOKUP(E238,A260:B272,2,0)</f>
        <v>No Increment</v>
      </c>
      <c r="G238" s="147" t="str">
        <f t="shared" si="1"/>
        <v> </v>
      </c>
      <c r="H238" s="142"/>
      <c r="J238" s="142"/>
    </row>
    <row r="239" spans="1:10" s="143" customFormat="1" ht="20.25" customHeight="1" hidden="1">
      <c r="A239" s="142"/>
      <c r="B239" s="147">
        <v>13</v>
      </c>
      <c r="C239" s="147">
        <v>2002</v>
      </c>
      <c r="D239" s="147">
        <v>13</v>
      </c>
      <c r="E239" s="147">
        <v>10</v>
      </c>
      <c r="F239" s="147" t="str">
        <f>VLOOKUP(E239,A260:B271,2,0)</f>
        <v>October</v>
      </c>
      <c r="G239" s="147" t="str">
        <f t="shared" si="1"/>
        <v>1.10.2008</v>
      </c>
      <c r="H239" s="142"/>
      <c r="J239" s="142"/>
    </row>
    <row r="240" spans="1:10" s="143" customFormat="1" ht="20.25" customHeight="1" hidden="1">
      <c r="A240" s="142"/>
      <c r="B240" s="147">
        <v>14</v>
      </c>
      <c r="C240" s="147">
        <v>2003</v>
      </c>
      <c r="D240" s="147">
        <v>15</v>
      </c>
      <c r="E240" s="147">
        <f>E239</f>
        <v>10</v>
      </c>
      <c r="F240" s="147" t="str">
        <f>VLOOKUP(E240,A260:B271,2,0)</f>
        <v>October</v>
      </c>
      <c r="G240" s="147" t="str">
        <f t="shared" si="1"/>
        <v>1.10.2009</v>
      </c>
      <c r="H240" s="142"/>
      <c r="I240" s="143" t="s">
        <v>201</v>
      </c>
      <c r="J240" s="142"/>
    </row>
    <row r="241" spans="1:10" s="143" customFormat="1" ht="20.25" customHeight="1" hidden="1">
      <c r="A241" s="142"/>
      <c r="B241" s="147">
        <v>15</v>
      </c>
      <c r="C241" s="147">
        <v>2004</v>
      </c>
      <c r="D241" s="147"/>
      <c r="E241" s="147">
        <f>E239</f>
        <v>10</v>
      </c>
      <c r="F241" s="147" t="str">
        <f>VLOOKUP(E241,A261:B272,2,0)</f>
        <v>October</v>
      </c>
      <c r="G241" s="147" t="str">
        <f t="shared" si="1"/>
        <v>1.10.2010</v>
      </c>
      <c r="H241" s="142"/>
      <c r="I241" s="143" t="str">
        <f>IF(AND(E241&lt;13),(CONCATENATE("1.",E241,".",E251+1))," ")</f>
        <v>1.10.2011</v>
      </c>
      <c r="J241" s="142"/>
    </row>
    <row r="242" spans="1:10" s="143" customFormat="1" ht="20.25" customHeight="1" hidden="1">
      <c r="A242" s="142"/>
      <c r="B242" s="147">
        <v>16</v>
      </c>
      <c r="C242" s="147">
        <v>2005</v>
      </c>
      <c r="D242" s="147">
        <v>13</v>
      </c>
      <c r="E242" s="147" t="str">
        <f>CONCATENATE(F236,",",E246)</f>
        <v>January,2009</v>
      </c>
      <c r="F242" s="147">
        <f>VLOOKUP(E242,D180:F225,3,0)</f>
        <v>7</v>
      </c>
      <c r="G242" s="143" t="str">
        <f>CONCATENATE(F239,",",E249)</f>
        <v>October,2008</v>
      </c>
      <c r="H242" s="142"/>
      <c r="I242" s="147">
        <f>VLOOKUP(G242,D180:F225,3,0)</f>
        <v>4</v>
      </c>
      <c r="J242" s="142"/>
    </row>
    <row r="243" spans="1:10" s="143" customFormat="1" ht="20.25" customHeight="1" hidden="1">
      <c r="A243" s="142"/>
      <c r="B243" s="147">
        <v>17</v>
      </c>
      <c r="C243" s="147">
        <v>2006</v>
      </c>
      <c r="D243" s="147">
        <v>15</v>
      </c>
      <c r="E243" s="147" t="str">
        <f>CONCATENATE(F237,",",E247)</f>
        <v>January,2010</v>
      </c>
      <c r="F243" s="147">
        <f>VLOOKUP(E243,D180:F225,3,0)</f>
        <v>19</v>
      </c>
      <c r="G243" s="143" t="str">
        <f>CONCATENATE(F240,",",E250)</f>
        <v>October,2009</v>
      </c>
      <c r="H243" s="142"/>
      <c r="I243" s="147">
        <f>VLOOKUP(G243,D180:F225,3,0)</f>
        <v>16</v>
      </c>
      <c r="J243" s="142"/>
    </row>
    <row r="244" spans="1:10" s="143" customFormat="1" ht="20.25" customHeight="1" hidden="1">
      <c r="A244" s="142"/>
      <c r="B244" s="147">
        <v>18</v>
      </c>
      <c r="C244" s="147">
        <v>2007</v>
      </c>
      <c r="E244" s="147" t="str">
        <f>CONCATENATE(F238,",",E248)</f>
        <v>No Increment,2010</v>
      </c>
      <c r="F244" s="147">
        <f>VLOOKUP(E244,D180:F225,3,0)</f>
        <v>50</v>
      </c>
      <c r="G244" s="143" t="str">
        <f>CONCATENATE(F241,",",E251)</f>
        <v>October,2010</v>
      </c>
      <c r="H244" s="142"/>
      <c r="I244" s="147">
        <f>VLOOKUP(G244,D180:F225,3,0)</f>
        <v>28</v>
      </c>
      <c r="J244" s="142"/>
    </row>
    <row r="245" spans="1:10" s="143" customFormat="1" ht="20.25" customHeight="1" hidden="1">
      <c r="A245" s="142">
        <v>1</v>
      </c>
      <c r="B245" s="147">
        <v>19</v>
      </c>
      <c r="C245" s="147">
        <v>2008</v>
      </c>
      <c r="H245" s="142"/>
      <c r="J245" s="142"/>
    </row>
    <row r="246" spans="1:10" s="143" customFormat="1" ht="20.25" customHeight="1" hidden="1">
      <c r="A246" s="142">
        <v>2</v>
      </c>
      <c r="B246" s="147">
        <v>20</v>
      </c>
      <c r="C246" s="147">
        <v>2009</v>
      </c>
      <c r="D246" s="147">
        <v>2</v>
      </c>
      <c r="E246" s="147">
        <f>VLOOKUP(D246+18,B245:C248,2,0)</f>
        <v>2009</v>
      </c>
      <c r="F246" s="143" t="str">
        <f>CONCATENATE(G239," i.e on Junior Increment Date")</f>
        <v>1.10.2008 i.e on Junior Increment Date</v>
      </c>
      <c r="H246" s="142"/>
      <c r="J246" s="142"/>
    </row>
    <row r="247" spans="1:10" s="143" customFormat="1" ht="20.25" customHeight="1" hidden="1">
      <c r="A247" s="142">
        <v>3</v>
      </c>
      <c r="B247" s="147">
        <v>21</v>
      </c>
      <c r="C247" s="147">
        <v>2010</v>
      </c>
      <c r="D247" s="147">
        <v>3</v>
      </c>
      <c r="E247" s="147">
        <f>VLOOKUP(D247+18,B245:C248,2,0)</f>
        <v>2010</v>
      </c>
      <c r="H247" s="142"/>
      <c r="J247" s="142"/>
    </row>
    <row r="248" spans="1:10" s="143" customFormat="1" ht="20.25" customHeight="1" hidden="1">
      <c r="A248" s="142">
        <v>4</v>
      </c>
      <c r="B248" s="147">
        <v>22</v>
      </c>
      <c r="C248" s="147">
        <v>2011</v>
      </c>
      <c r="D248" s="147">
        <v>3</v>
      </c>
      <c r="E248" s="147">
        <f>VLOOKUP(D248+18,B246:C249,2,0)</f>
        <v>2010</v>
      </c>
      <c r="F248" s="148" t="str">
        <f>CONCATENATE("Senior increment Date preponed on par with Junior Increment Date: ",G239)</f>
        <v>Senior increment Date preponed on par with Junior Increment Date: 1.10.2008</v>
      </c>
      <c r="H248" s="142"/>
      <c r="J248" s="142"/>
    </row>
    <row r="249" spans="1:10" s="143" customFormat="1" ht="20.25" customHeight="1" hidden="1">
      <c r="A249" s="142"/>
      <c r="B249" s="147">
        <v>23</v>
      </c>
      <c r="D249" s="147">
        <v>1</v>
      </c>
      <c r="E249" s="147">
        <f>VLOOKUP(D249+18,B245:C248,2,0)</f>
        <v>2008</v>
      </c>
      <c r="H249" s="142"/>
      <c r="J249" s="142"/>
    </row>
    <row r="250" spans="1:10" s="143" customFormat="1" ht="20.25" customHeight="1" hidden="1">
      <c r="A250" s="142"/>
      <c r="B250" s="147">
        <v>24</v>
      </c>
      <c r="D250" s="147">
        <f>D249+1</f>
        <v>2</v>
      </c>
      <c r="E250" s="147">
        <f>VLOOKUP(D250+18,B245:C248,2,0)</f>
        <v>2009</v>
      </c>
      <c r="H250" s="142"/>
      <c r="J250" s="142"/>
    </row>
    <row r="251" spans="1:10" s="143" customFormat="1" ht="20.25" customHeight="1" hidden="1" thickBot="1">
      <c r="A251" s="142"/>
      <c r="B251" s="147">
        <v>25</v>
      </c>
      <c r="D251" s="147">
        <f>D250+1</f>
        <v>3</v>
      </c>
      <c r="E251" s="147">
        <f>VLOOKUP(D251+18,B246:C249,2,0)</f>
        <v>2010</v>
      </c>
      <c r="H251" s="142"/>
      <c r="J251" s="142"/>
    </row>
    <row r="252" spans="1:10" s="143" customFormat="1" ht="20.25" customHeight="1" hidden="1">
      <c r="A252" s="142"/>
      <c r="B252" s="147">
        <v>26</v>
      </c>
      <c r="D252" s="149">
        <v>18</v>
      </c>
      <c r="E252" s="150"/>
      <c r="F252" s="151" t="s">
        <v>133</v>
      </c>
      <c r="H252" s="142"/>
      <c r="J252" s="142"/>
    </row>
    <row r="253" spans="1:10" s="143" customFormat="1" ht="20.25" customHeight="1" hidden="1">
      <c r="A253" s="142"/>
      <c r="B253" s="147">
        <v>27</v>
      </c>
      <c r="D253" s="152">
        <v>2</v>
      </c>
      <c r="E253" s="153" t="str">
        <f>VLOOKUP(D253,A260:B271,2)</f>
        <v>February</v>
      </c>
      <c r="F253" s="154"/>
      <c r="H253" s="142"/>
      <c r="J253" s="142"/>
    </row>
    <row r="254" spans="1:10" s="143" customFormat="1" ht="20.25" customHeight="1" hidden="1">
      <c r="A254" s="142"/>
      <c r="B254" s="147">
        <v>28</v>
      </c>
      <c r="D254" s="152">
        <v>3</v>
      </c>
      <c r="E254" s="155">
        <f>VLOOKUP(D254,A245:C248,3)</f>
        <v>2010</v>
      </c>
      <c r="F254" s="154"/>
      <c r="H254" s="142"/>
      <c r="J254" s="142"/>
    </row>
    <row r="255" spans="1:10" s="143" customFormat="1" ht="20.25" customHeight="1" hidden="1">
      <c r="A255" s="142"/>
      <c r="B255" s="147">
        <v>29</v>
      </c>
      <c r="D255" s="152"/>
      <c r="E255" s="153" t="str">
        <f>CONCATENATE(E253,",",E254)</f>
        <v>February,2010</v>
      </c>
      <c r="F255" s="154">
        <f>VLOOKUP(E255,D180:F221,3,0)</f>
        <v>20</v>
      </c>
      <c r="H255" s="142"/>
      <c r="J255" s="142"/>
    </row>
    <row r="256" spans="1:10" s="143" customFormat="1" ht="20.25" customHeight="1" hidden="1" thickBot="1">
      <c r="A256" s="142"/>
      <c r="B256" s="147">
        <v>30</v>
      </c>
      <c r="D256" s="156"/>
      <c r="E256" s="157" t="str">
        <f>CONCATENATE(D252,".",D253,".",E254)</f>
        <v>18.2.2010</v>
      </c>
      <c r="F256" s="158"/>
      <c r="H256" s="142"/>
      <c r="J256" s="142"/>
    </row>
    <row r="257" spans="1:10" s="143" customFormat="1" ht="20.25" customHeight="1" hidden="1">
      <c r="A257" s="142"/>
      <c r="B257" s="147">
        <v>31</v>
      </c>
      <c r="H257" s="142"/>
      <c r="J257" s="142"/>
    </row>
    <row r="258" spans="1:10" s="143" customFormat="1" ht="20.25" customHeight="1" hidden="1">
      <c r="A258" s="142"/>
      <c r="B258" s="147"/>
      <c r="F258" s="143">
        <v>1</v>
      </c>
      <c r="G258" s="143" t="str">
        <f>VLOOKUP(F258,F260:G261,2,0)</f>
        <v>Yes</v>
      </c>
      <c r="H258" s="142"/>
      <c r="J258" s="142"/>
    </row>
    <row r="259" spans="1:10" s="143" customFormat="1" ht="20.25" customHeight="1" hidden="1">
      <c r="A259" s="142"/>
      <c r="B259" s="147"/>
      <c r="H259" s="142"/>
      <c r="J259" s="142"/>
    </row>
    <row r="260" spans="1:10" s="143" customFormat="1" ht="20.25" customHeight="1" hidden="1">
      <c r="A260" s="142">
        <v>1</v>
      </c>
      <c r="B260" s="147" t="s">
        <v>60</v>
      </c>
      <c r="C260" s="146" t="s">
        <v>78</v>
      </c>
      <c r="D260" s="143">
        <v>31</v>
      </c>
      <c r="F260" s="143">
        <v>1</v>
      </c>
      <c r="G260" s="143" t="s">
        <v>128</v>
      </c>
      <c r="H260" s="142"/>
      <c r="J260" s="142"/>
    </row>
    <row r="261" spans="1:10" s="143" customFormat="1" ht="20.25" customHeight="1" hidden="1">
      <c r="A261" s="142">
        <v>2</v>
      </c>
      <c r="B261" s="147" t="s">
        <v>61</v>
      </c>
      <c r="C261" s="146" t="s">
        <v>79</v>
      </c>
      <c r="D261" s="143">
        <v>28</v>
      </c>
      <c r="F261" s="143">
        <v>2</v>
      </c>
      <c r="G261" s="143" t="s">
        <v>129</v>
      </c>
      <c r="H261" s="142"/>
      <c r="J261" s="142"/>
    </row>
    <row r="262" spans="1:10" s="143" customFormat="1" ht="20.25" customHeight="1" hidden="1">
      <c r="A262" s="142">
        <v>3</v>
      </c>
      <c r="B262" s="147" t="s">
        <v>62</v>
      </c>
      <c r="C262" s="146" t="s">
        <v>80</v>
      </c>
      <c r="D262" s="143">
        <v>31</v>
      </c>
      <c r="H262" s="142"/>
      <c r="J262" s="142"/>
    </row>
    <row r="263" spans="1:10" s="143" customFormat="1" ht="20.25" customHeight="1" hidden="1">
      <c r="A263" s="142">
        <v>4</v>
      </c>
      <c r="B263" s="147" t="s">
        <v>63</v>
      </c>
      <c r="C263" s="146" t="s">
        <v>81</v>
      </c>
      <c r="D263" s="143">
        <v>30</v>
      </c>
      <c r="H263" s="142"/>
      <c r="J263" s="142"/>
    </row>
    <row r="264" spans="1:10" s="143" customFormat="1" ht="20.25" customHeight="1" hidden="1">
      <c r="A264" s="142">
        <v>5</v>
      </c>
      <c r="B264" s="147" t="s">
        <v>64</v>
      </c>
      <c r="C264" s="146" t="s">
        <v>82</v>
      </c>
      <c r="D264" s="143">
        <v>31</v>
      </c>
      <c r="H264" s="142"/>
      <c r="J264" s="142"/>
    </row>
    <row r="265" spans="1:10" s="143" customFormat="1" ht="20.25" customHeight="1" hidden="1">
      <c r="A265" s="142">
        <v>6</v>
      </c>
      <c r="B265" s="147" t="s">
        <v>65</v>
      </c>
      <c r="C265" s="146" t="s">
        <v>83</v>
      </c>
      <c r="D265" s="143">
        <v>30</v>
      </c>
      <c r="H265" s="142"/>
      <c r="J265" s="142"/>
    </row>
    <row r="266" spans="1:10" s="143" customFormat="1" ht="20.25" customHeight="1" hidden="1">
      <c r="A266" s="142">
        <v>7</v>
      </c>
      <c r="B266" s="147" t="s">
        <v>66</v>
      </c>
      <c r="C266" s="146" t="s">
        <v>76</v>
      </c>
      <c r="D266" s="143">
        <v>31</v>
      </c>
      <c r="H266" s="142"/>
      <c r="J266" s="142"/>
    </row>
    <row r="267" spans="1:10" s="143" customFormat="1" ht="20.25" customHeight="1" hidden="1">
      <c r="A267" s="142">
        <v>8</v>
      </c>
      <c r="B267" s="147" t="s">
        <v>67</v>
      </c>
      <c r="C267" s="146" t="s">
        <v>72</v>
      </c>
      <c r="D267" s="143">
        <v>31</v>
      </c>
      <c r="H267" s="142"/>
      <c r="J267" s="142"/>
    </row>
    <row r="268" spans="1:10" s="143" customFormat="1" ht="20.25" customHeight="1" hidden="1">
      <c r="A268" s="142">
        <v>9</v>
      </c>
      <c r="B268" s="147" t="s">
        <v>68</v>
      </c>
      <c r="C268" s="146" t="s">
        <v>73</v>
      </c>
      <c r="D268" s="143">
        <v>30</v>
      </c>
      <c r="H268" s="142"/>
      <c r="J268" s="142"/>
    </row>
    <row r="269" spans="1:10" s="143" customFormat="1" ht="20.25" customHeight="1" hidden="1">
      <c r="A269" s="142">
        <v>10</v>
      </c>
      <c r="B269" s="147" t="s">
        <v>69</v>
      </c>
      <c r="C269" s="146" t="s">
        <v>74</v>
      </c>
      <c r="D269" s="143">
        <v>31</v>
      </c>
      <c r="H269" s="142"/>
      <c r="J269" s="142"/>
    </row>
    <row r="270" spans="1:10" s="143" customFormat="1" ht="20.25" customHeight="1" hidden="1">
      <c r="A270" s="142">
        <v>11</v>
      </c>
      <c r="B270" s="147" t="s">
        <v>70</v>
      </c>
      <c r="C270" s="146" t="s">
        <v>75</v>
      </c>
      <c r="D270" s="143">
        <v>30</v>
      </c>
      <c r="H270" s="142"/>
      <c r="J270" s="142"/>
    </row>
    <row r="271" spans="1:10" s="143" customFormat="1" ht="20.25" customHeight="1" hidden="1">
      <c r="A271" s="142">
        <v>12</v>
      </c>
      <c r="B271" s="147" t="s">
        <v>71</v>
      </c>
      <c r="C271" s="146" t="s">
        <v>77</v>
      </c>
      <c r="D271" s="143">
        <v>31</v>
      </c>
      <c r="H271" s="142"/>
      <c r="J271" s="142"/>
    </row>
    <row r="272" spans="1:10" s="143" customFormat="1" ht="20.25" customHeight="1" hidden="1">
      <c r="A272" s="142">
        <v>13</v>
      </c>
      <c r="B272" s="143" t="s">
        <v>186</v>
      </c>
      <c r="C272" s="144">
        <v>50</v>
      </c>
      <c r="H272" s="142"/>
      <c r="J272" s="142"/>
    </row>
    <row r="273" spans="1:10" s="143" customFormat="1" ht="20.25" customHeight="1" hidden="1">
      <c r="A273" s="142"/>
      <c r="H273" s="142"/>
      <c r="J273" s="142"/>
    </row>
    <row r="274" spans="1:10" s="143" customFormat="1" ht="20.25" customHeight="1" hidden="1">
      <c r="A274" s="142"/>
      <c r="H274" s="142"/>
      <c r="J274" s="142"/>
    </row>
    <row r="275" spans="1:10" s="143" customFormat="1" ht="20.25" customHeight="1" hidden="1">
      <c r="A275" s="145">
        <v>1</v>
      </c>
      <c r="B275" s="159">
        <v>5470</v>
      </c>
      <c r="C275" s="160">
        <v>10900</v>
      </c>
      <c r="D275" s="160">
        <v>14860</v>
      </c>
      <c r="F275" s="147">
        <v>7</v>
      </c>
      <c r="G275" s="147">
        <f>VLOOKUP(F275,A275:B339,2,0)</f>
        <v>6350</v>
      </c>
      <c r="H275" s="142"/>
      <c r="I275" s="143">
        <f>IF(AND(B149=1),(VLOOKUP(G275,B275:D339,3,0)),IF(AND(B149=5),(VLOOKUP(G275,B275:D339,3,0)),(VLOOKUP(G275,B275:D339,2,0))))</f>
        <v>11530</v>
      </c>
      <c r="J275" s="142"/>
    </row>
    <row r="276" spans="1:10" s="143" customFormat="1" ht="20.25" customHeight="1" hidden="1">
      <c r="A276" s="145">
        <v>2</v>
      </c>
      <c r="B276" s="159">
        <v>5605</v>
      </c>
      <c r="C276" s="160">
        <v>10900</v>
      </c>
      <c r="D276" s="160">
        <v>14860</v>
      </c>
      <c r="F276" s="147">
        <v>6</v>
      </c>
      <c r="G276" s="147">
        <f>VLOOKUP(F276,A275:B339,2,0)</f>
        <v>6195</v>
      </c>
      <c r="H276" s="142"/>
      <c r="I276" s="143">
        <f>IF(AND(B149=1),(VLOOKUP(G276,B275:D339,3,0)),IF(AND(B149=5),(VLOOKUP(G276,B275:D339,3,0)),(VLOOKUP(G276,B275:D339,2,0))))</f>
        <v>11530</v>
      </c>
      <c r="J276" s="142"/>
    </row>
    <row r="277" spans="1:10" s="143" customFormat="1" ht="20.25" customHeight="1" hidden="1">
      <c r="A277" s="145">
        <v>3</v>
      </c>
      <c r="B277" s="159">
        <v>5750</v>
      </c>
      <c r="C277" s="160">
        <v>10900</v>
      </c>
      <c r="D277" s="160">
        <v>14860</v>
      </c>
      <c r="H277" s="142"/>
      <c r="J277" s="142"/>
    </row>
    <row r="278" spans="1:10" s="143" customFormat="1" ht="20.25" customHeight="1" hidden="1">
      <c r="A278" s="145">
        <v>4</v>
      </c>
      <c r="B278" s="159">
        <v>5895</v>
      </c>
      <c r="C278" s="160">
        <v>10900</v>
      </c>
      <c r="D278" s="160">
        <v>14860</v>
      </c>
      <c r="H278" s="142"/>
      <c r="J278" s="142"/>
    </row>
    <row r="279" spans="1:10" s="143" customFormat="1" ht="20.25" customHeight="1" hidden="1">
      <c r="A279" s="145">
        <v>5</v>
      </c>
      <c r="B279" s="159">
        <v>6040</v>
      </c>
      <c r="C279" s="160">
        <v>11200</v>
      </c>
      <c r="D279" s="160">
        <v>14860</v>
      </c>
      <c r="F279" s="143" t="s">
        <v>91</v>
      </c>
      <c r="G279" s="143">
        <f>VLOOKUP(I276,B411:C476,2,0)</f>
        <v>11860</v>
      </c>
      <c r="H279" s="142"/>
      <c r="J279" s="142"/>
    </row>
    <row r="280" spans="1:10" s="143" customFormat="1" ht="20.25" customHeight="1" hidden="1">
      <c r="A280" s="145">
        <v>6</v>
      </c>
      <c r="B280" s="159">
        <v>6195</v>
      </c>
      <c r="C280" s="160">
        <v>11530</v>
      </c>
      <c r="D280" s="160">
        <v>14860</v>
      </c>
      <c r="F280" s="143" t="s">
        <v>92</v>
      </c>
      <c r="G280" s="143">
        <f>VLOOKUP(G279,B411:C476,2,0)</f>
        <v>12190</v>
      </c>
      <c r="H280" s="142"/>
      <c r="J280" s="142"/>
    </row>
    <row r="281" spans="1:10" s="143" customFormat="1" ht="20.25" customHeight="1" hidden="1">
      <c r="A281" s="145">
        <v>7</v>
      </c>
      <c r="B281" s="159">
        <v>6350</v>
      </c>
      <c r="C281" s="160">
        <v>11530</v>
      </c>
      <c r="D281" s="160">
        <v>14860</v>
      </c>
      <c r="G281" s="143">
        <f>VLOOKUP(G280,B412:C477,2,0)</f>
        <v>12550</v>
      </c>
      <c r="H281" s="142"/>
      <c r="J281" s="142"/>
    </row>
    <row r="282" spans="1:10" s="141" customFormat="1" ht="20.25" customHeight="1" hidden="1">
      <c r="A282" s="145">
        <v>8</v>
      </c>
      <c r="B282" s="159">
        <v>6505</v>
      </c>
      <c r="C282" s="160">
        <v>11860</v>
      </c>
      <c r="D282" s="160">
        <v>14860</v>
      </c>
      <c r="H282" s="140"/>
      <c r="J282" s="140"/>
    </row>
    <row r="283" spans="1:10" s="141" customFormat="1" ht="20.25" customHeight="1" hidden="1">
      <c r="A283" s="145">
        <v>9</v>
      </c>
      <c r="B283" s="159">
        <v>6675</v>
      </c>
      <c r="C283" s="160">
        <v>12190</v>
      </c>
      <c r="D283" s="160">
        <v>14860</v>
      </c>
      <c r="E283" s="141">
        <v>1</v>
      </c>
      <c r="F283" s="141" t="s">
        <v>117</v>
      </c>
      <c r="G283" s="141" t="s">
        <v>123</v>
      </c>
      <c r="H283" s="140"/>
      <c r="I283" s="141" t="s">
        <v>124</v>
      </c>
      <c r="J283" s="140"/>
    </row>
    <row r="284" spans="1:10" s="141" customFormat="1" ht="20.25" customHeight="1" hidden="1">
      <c r="A284" s="145">
        <v>10</v>
      </c>
      <c r="B284" s="159">
        <v>6845</v>
      </c>
      <c r="C284" s="160">
        <v>12550</v>
      </c>
      <c r="D284" s="160">
        <v>14860</v>
      </c>
      <c r="E284" s="141">
        <v>2</v>
      </c>
      <c r="F284" s="141" t="s">
        <v>118</v>
      </c>
      <c r="G284" s="141" t="s">
        <v>124</v>
      </c>
      <c r="H284" s="140"/>
      <c r="I284" s="141" t="s">
        <v>125</v>
      </c>
      <c r="J284" s="140"/>
    </row>
    <row r="285" spans="1:10" s="141" customFormat="1" ht="20.25" customHeight="1" hidden="1">
      <c r="A285" s="145">
        <v>11</v>
      </c>
      <c r="B285" s="159">
        <v>7015</v>
      </c>
      <c r="C285" s="160">
        <v>12910</v>
      </c>
      <c r="D285" s="160">
        <v>14860</v>
      </c>
      <c r="E285" s="141">
        <v>3</v>
      </c>
      <c r="F285" s="141" t="s">
        <v>119</v>
      </c>
      <c r="G285" s="141" t="s">
        <v>125</v>
      </c>
      <c r="H285" s="140"/>
      <c r="I285" s="141" t="str">
        <f>IF(AND(B149&gt;1,B149&lt;5),G287,G286)</f>
        <v>18030-43630</v>
      </c>
      <c r="J285" s="140"/>
    </row>
    <row r="286" spans="1:10" s="141" customFormat="1" ht="20.25" customHeight="1" hidden="1">
      <c r="A286" s="145">
        <v>12</v>
      </c>
      <c r="B286" s="159">
        <v>7200</v>
      </c>
      <c r="C286" s="160">
        <v>13270</v>
      </c>
      <c r="D286" s="160">
        <v>14860</v>
      </c>
      <c r="E286" s="141">
        <v>4</v>
      </c>
      <c r="F286" s="141" t="s">
        <v>120</v>
      </c>
      <c r="G286" s="141" t="s">
        <v>126</v>
      </c>
      <c r="H286" s="140"/>
      <c r="I286" s="141" t="s">
        <v>127</v>
      </c>
      <c r="J286" s="140"/>
    </row>
    <row r="287" spans="1:10" s="141" customFormat="1" ht="20.25" customHeight="1" hidden="1">
      <c r="A287" s="145">
        <v>13</v>
      </c>
      <c r="B287" s="159">
        <v>7385</v>
      </c>
      <c r="C287" s="160">
        <v>13660</v>
      </c>
      <c r="D287" s="160">
        <v>14860</v>
      </c>
      <c r="E287" s="141">
        <v>5</v>
      </c>
      <c r="F287" s="141" t="s">
        <v>121</v>
      </c>
      <c r="G287" s="141" t="s">
        <v>127</v>
      </c>
      <c r="H287" s="140"/>
      <c r="I287" s="141" t="s">
        <v>127</v>
      </c>
      <c r="J287" s="140"/>
    </row>
    <row r="288" spans="1:10" s="141" customFormat="1" ht="20.25" customHeight="1" hidden="1">
      <c r="A288" s="145">
        <v>14</v>
      </c>
      <c r="B288" s="159">
        <v>7570</v>
      </c>
      <c r="C288" s="160">
        <v>14050</v>
      </c>
      <c r="D288" s="160">
        <v>14860</v>
      </c>
      <c r="E288" s="141">
        <v>6</v>
      </c>
      <c r="F288" s="141" t="s">
        <v>122</v>
      </c>
      <c r="G288" s="141" t="s">
        <v>127</v>
      </c>
      <c r="H288" s="140"/>
      <c r="I288" s="141" t="s">
        <v>127</v>
      </c>
      <c r="J288" s="140"/>
    </row>
    <row r="289" spans="1:10" s="141" customFormat="1" ht="20.25" customHeight="1" hidden="1">
      <c r="A289" s="145">
        <v>15</v>
      </c>
      <c r="B289" s="159">
        <v>7770</v>
      </c>
      <c r="C289" s="160">
        <v>14440</v>
      </c>
      <c r="D289" s="160">
        <v>14860</v>
      </c>
      <c r="H289" s="140"/>
      <c r="J289" s="140"/>
    </row>
    <row r="290" spans="1:10" s="141" customFormat="1" ht="20.25" customHeight="1" hidden="1">
      <c r="A290" s="145">
        <v>16</v>
      </c>
      <c r="B290" s="159">
        <v>7970</v>
      </c>
      <c r="C290" s="160">
        <v>14860</v>
      </c>
      <c r="D290" s="160">
        <v>14860</v>
      </c>
      <c r="H290" s="140"/>
      <c r="J290" s="140"/>
    </row>
    <row r="291" spans="1:10" s="141" customFormat="1" ht="20.25" customHeight="1" hidden="1">
      <c r="A291" s="145">
        <v>17</v>
      </c>
      <c r="B291" s="159">
        <v>8170</v>
      </c>
      <c r="C291" s="160">
        <v>14860</v>
      </c>
      <c r="D291" s="160">
        <v>14860</v>
      </c>
      <c r="F291" s="141">
        <v>1</v>
      </c>
      <c r="G291" s="141" t="str">
        <f>VLOOKUP(F291,E283:F288,2,0)</f>
        <v>5470-12385</v>
      </c>
      <c r="H291" s="140"/>
      <c r="I291" s="141" t="str">
        <f>VLOOKUP(F291,E283:G288,3,0)</f>
        <v>10900-31550</v>
      </c>
      <c r="J291" s="140"/>
    </row>
    <row r="292" spans="1:10" s="141" customFormat="1" ht="20.25" customHeight="1" hidden="1">
      <c r="A292" s="145">
        <v>18</v>
      </c>
      <c r="B292" s="159">
        <v>8385</v>
      </c>
      <c r="C292" s="160">
        <v>15280</v>
      </c>
      <c r="D292" s="160">
        <v>15280</v>
      </c>
      <c r="F292" s="141">
        <v>1</v>
      </c>
      <c r="G292" s="141" t="str">
        <f>VLOOKUP(F292,E283:F288,2,0)</f>
        <v>5470-12385</v>
      </c>
      <c r="H292" s="140"/>
      <c r="I292" s="141" t="str">
        <f>VLOOKUP(F292,E283:G288,3,0)</f>
        <v>10900-31550</v>
      </c>
      <c r="J292" s="140"/>
    </row>
    <row r="293" spans="1:10" s="141" customFormat="1" ht="20.25" customHeight="1" hidden="1">
      <c r="A293" s="145">
        <v>19</v>
      </c>
      <c r="B293" s="159">
        <v>8600</v>
      </c>
      <c r="C293" s="160">
        <v>15700</v>
      </c>
      <c r="D293" s="160">
        <v>15700</v>
      </c>
      <c r="H293" s="140"/>
      <c r="J293" s="140"/>
    </row>
    <row r="294" spans="1:10" s="141" customFormat="1" ht="20.25" customHeight="1" hidden="1">
      <c r="A294" s="145">
        <v>20</v>
      </c>
      <c r="B294" s="159">
        <v>8815</v>
      </c>
      <c r="C294" s="160">
        <v>16150</v>
      </c>
      <c r="D294" s="160">
        <v>16150</v>
      </c>
      <c r="H294" s="140"/>
      <c r="J294" s="140"/>
    </row>
    <row r="295" spans="1:10" s="141" customFormat="1" ht="20.25" customHeight="1" hidden="1">
      <c r="A295" s="145">
        <v>21</v>
      </c>
      <c r="B295" s="159">
        <v>9050</v>
      </c>
      <c r="C295" s="160">
        <v>16600</v>
      </c>
      <c r="D295" s="160">
        <v>16600</v>
      </c>
      <c r="G295" s="141" t="str">
        <f>CONCATENATE(G291," / ",G275)</f>
        <v>5470-12385 / 6350</v>
      </c>
      <c r="H295" s="140"/>
      <c r="J295" s="140"/>
    </row>
    <row r="296" spans="1:10" s="141" customFormat="1" ht="20.25" customHeight="1" hidden="1">
      <c r="A296" s="145">
        <v>22</v>
      </c>
      <c r="B296" s="159">
        <v>9285</v>
      </c>
      <c r="C296" s="160">
        <v>17050</v>
      </c>
      <c r="D296" s="160">
        <v>17050</v>
      </c>
      <c r="G296" s="141" t="str">
        <f>CONCATENATE(G292," / ",G276)</f>
        <v>5470-12385 / 6195</v>
      </c>
      <c r="H296" s="140"/>
      <c r="J296" s="140"/>
    </row>
    <row r="297" spans="1:10" s="141" customFormat="1" ht="20.25" customHeight="1" hidden="1">
      <c r="A297" s="145">
        <v>23</v>
      </c>
      <c r="B297" s="159">
        <v>9520</v>
      </c>
      <c r="C297" s="160">
        <v>17540</v>
      </c>
      <c r="D297" s="160">
        <v>17540</v>
      </c>
      <c r="G297" s="141" t="str">
        <f>CONCATENATE(I291," / ",I275)</f>
        <v>10900-31550 / 11530</v>
      </c>
      <c r="H297" s="140"/>
      <c r="J297" s="140"/>
    </row>
    <row r="298" spans="1:10" s="141" customFormat="1" ht="20.25" customHeight="1" hidden="1">
      <c r="A298" s="145">
        <v>24</v>
      </c>
      <c r="B298" s="159">
        <v>9775</v>
      </c>
      <c r="C298" s="160">
        <v>18030</v>
      </c>
      <c r="D298" s="160">
        <v>18030</v>
      </c>
      <c r="G298" s="141" t="str">
        <f>CONCATENATE(I292," / ",I276)</f>
        <v>10900-31550 / 11530</v>
      </c>
      <c r="H298" s="140"/>
      <c r="J298" s="140"/>
    </row>
    <row r="299" spans="1:10" s="141" customFormat="1" ht="20.25" customHeight="1" hidden="1">
      <c r="A299" s="145">
        <v>25</v>
      </c>
      <c r="B299" s="159">
        <v>10030</v>
      </c>
      <c r="C299" s="160">
        <v>18520</v>
      </c>
      <c r="D299" s="160">
        <v>18520</v>
      </c>
      <c r="H299" s="140"/>
      <c r="J299" s="140"/>
    </row>
    <row r="300" spans="1:10" s="141" customFormat="1" ht="20.25" customHeight="1" hidden="1">
      <c r="A300" s="145">
        <v>26</v>
      </c>
      <c r="B300" s="159">
        <v>10285</v>
      </c>
      <c r="C300" s="160">
        <v>19050</v>
      </c>
      <c r="D300" s="160">
        <v>19050</v>
      </c>
      <c r="H300" s="140"/>
      <c r="J300" s="140"/>
    </row>
    <row r="301" spans="1:16" s="141" customFormat="1" ht="20.25" customHeight="1" hidden="1">
      <c r="A301" s="145">
        <v>27</v>
      </c>
      <c r="B301" s="159">
        <v>10565</v>
      </c>
      <c r="C301" s="160">
        <v>19580</v>
      </c>
      <c r="D301" s="160">
        <v>19580</v>
      </c>
      <c r="H301" s="140"/>
      <c r="J301" s="140"/>
      <c r="O301" s="141">
        <f>I275</f>
        <v>11530</v>
      </c>
      <c r="P301" s="141">
        <f>I276</f>
        <v>11530</v>
      </c>
    </row>
    <row r="302" spans="1:18" s="141" customFormat="1" ht="20.25" customHeight="1" hidden="1">
      <c r="A302" s="145">
        <v>28</v>
      </c>
      <c r="B302" s="159">
        <v>10845</v>
      </c>
      <c r="C302" s="160">
        <v>20110</v>
      </c>
      <c r="D302" s="160">
        <v>20110</v>
      </c>
      <c r="H302" s="140"/>
      <c r="J302" s="140"/>
      <c r="Q302" s="161" t="s">
        <v>195</v>
      </c>
      <c r="R302" s="161" t="s">
        <v>194</v>
      </c>
    </row>
    <row r="303" spans="1:19" s="141" customFormat="1" ht="20.25" customHeight="1" hidden="1">
      <c r="A303" s="145">
        <v>29</v>
      </c>
      <c r="B303" s="159">
        <v>11125</v>
      </c>
      <c r="C303" s="160">
        <v>20680</v>
      </c>
      <c r="D303" s="160">
        <v>20680</v>
      </c>
      <c r="F303" s="141" t="s">
        <v>191</v>
      </c>
      <c r="H303" s="140"/>
      <c r="J303" s="140"/>
      <c r="N303" s="141" t="s">
        <v>191</v>
      </c>
      <c r="O303" s="161">
        <f>F242</f>
        <v>7</v>
      </c>
      <c r="P303" s="161">
        <f>I242</f>
        <v>4</v>
      </c>
      <c r="Q303" s="161">
        <f>IF(AND(O303&lt;=O306),VLOOKUP(O301,B411:C476,2,0),VLOOKUP(Q306,B411:C476,2,0))</f>
        <v>11860</v>
      </c>
      <c r="R303" s="161">
        <f>IF(AND(P303&lt;=P306),VLOOKUP(P301,B411:C476,2,0),VLOOKUP(R306,B411:C476,2,0))</f>
        <v>11860</v>
      </c>
      <c r="S303" s="141" t="str">
        <f>G239</f>
        <v>1.10.2008</v>
      </c>
    </row>
    <row r="304" spans="1:19" s="141" customFormat="1" ht="20.25" customHeight="1" hidden="1">
      <c r="A304" s="145">
        <v>30</v>
      </c>
      <c r="B304" s="159">
        <v>11440</v>
      </c>
      <c r="C304" s="160">
        <v>21250</v>
      </c>
      <c r="D304" s="160">
        <v>21250</v>
      </c>
      <c r="F304" s="141" t="s">
        <v>192</v>
      </c>
      <c r="H304" s="140"/>
      <c r="J304" s="140"/>
      <c r="N304" s="141" t="s">
        <v>192</v>
      </c>
      <c r="O304" s="161">
        <f>F243</f>
        <v>19</v>
      </c>
      <c r="P304" s="161">
        <f>I243</f>
        <v>16</v>
      </c>
      <c r="Q304" s="161">
        <f>IF(AND(O304&lt;=O306),VLOOKUP(Q303,B411:C476,2,0),VLOOKUP(Q306,B411:C476,2,0))</f>
        <v>12190</v>
      </c>
      <c r="R304" s="161">
        <f>IF(AND(P304&lt;=P306),VLOOKUP(R303,B411:C476,2,0),VLOOKUP(R306,B411:C476,2,0))</f>
        <v>12190</v>
      </c>
      <c r="S304" s="141" t="str">
        <f>G240</f>
        <v>1.10.2009</v>
      </c>
    </row>
    <row r="305" spans="1:19" s="141" customFormat="1" ht="20.25" customHeight="1" hidden="1">
      <c r="A305" s="145">
        <v>31</v>
      </c>
      <c r="B305" s="159">
        <v>11755</v>
      </c>
      <c r="C305" s="160">
        <v>21820</v>
      </c>
      <c r="D305" s="160">
        <v>21820</v>
      </c>
      <c r="F305" s="141" t="s">
        <v>193</v>
      </c>
      <c r="H305" s="140"/>
      <c r="J305" s="140"/>
      <c r="N305" s="141" t="s">
        <v>193</v>
      </c>
      <c r="O305" s="161">
        <f>F244</f>
        <v>50</v>
      </c>
      <c r="P305" s="161">
        <f>I244</f>
        <v>28</v>
      </c>
      <c r="Q305" s="161">
        <f>IF(AND(O305&lt;=O306),VLOOKUP(Q304,B411:C476,2,0),VLOOKUP(Q306,B411:C476,2,0))</f>
        <v>12910</v>
      </c>
      <c r="R305" s="161">
        <f>IF(AND(P305&lt;=P306),VLOOKUP(R304,B411:C476,2,0),IF(AND(P306&lt;=P304),VLOOKUP(R304,B411:C476,2,0),VLOOKUP(R306,B411:C476,2,0)))</f>
        <v>12910</v>
      </c>
      <c r="S305" s="141" t="str">
        <f>G241</f>
        <v>1.10.2010</v>
      </c>
    </row>
    <row r="306" spans="1:22" s="141" customFormat="1" ht="20.25" customHeight="1" hidden="1">
      <c r="A306" s="145">
        <v>32</v>
      </c>
      <c r="B306" s="159">
        <v>12070</v>
      </c>
      <c r="C306" s="160">
        <v>22430</v>
      </c>
      <c r="D306" s="160">
        <v>22430</v>
      </c>
      <c r="F306" s="141" t="s">
        <v>133</v>
      </c>
      <c r="H306" s="140"/>
      <c r="J306" s="140"/>
      <c r="N306" s="141" t="s">
        <v>133</v>
      </c>
      <c r="O306" s="161">
        <f>IF(F258=2,51,F255)</f>
        <v>20</v>
      </c>
      <c r="P306" s="161">
        <f>O306</f>
        <v>20</v>
      </c>
      <c r="Q306" s="161">
        <f>IF(AND(O306&lt;O303),VLOOKUP(O301,B411:C476,2,0),IF(AND(O306&lt;O304),VLOOKUP(Q303,B411:C476,2,0),IF(AND(O306&lt;O305),VLOOKUP(Q304,B411:C476,2,0),VLOOKUP(Q305,B411:C476,2,0))))</f>
        <v>12550</v>
      </c>
      <c r="R306" s="161">
        <f>IF(AND(P306&lt;P303),VLOOKUP(P301,B411:C476,2,0),IF(AND(P306&lt;P304),VLOOKUP(R303,B411:C476,2,0),IF(AND(P306&lt;P305),VLOOKUP(R304,B411:C476,2,0),VLOOKUP(R305,B411:C476,2,0))))</f>
        <v>12550</v>
      </c>
      <c r="S306" s="141" t="str">
        <f>E256</f>
        <v>18.2.2010</v>
      </c>
      <c r="U306" s="162" t="s">
        <v>194</v>
      </c>
      <c r="V306" s="141" t="s">
        <v>195</v>
      </c>
    </row>
    <row r="307" spans="1:15" s="141" customFormat="1" ht="20.25" customHeight="1" hidden="1">
      <c r="A307" s="145">
        <v>33</v>
      </c>
      <c r="B307" s="159">
        <v>12385</v>
      </c>
      <c r="C307" s="160">
        <v>23040</v>
      </c>
      <c r="D307" s="160">
        <v>23040</v>
      </c>
      <c r="H307" s="140"/>
      <c r="J307" s="140"/>
      <c r="O307" s="141">
        <f>O301</f>
        <v>11530</v>
      </c>
    </row>
    <row r="308" spans="1:22" s="141" customFormat="1" ht="20.25" customHeight="1" hidden="1">
      <c r="A308" s="145">
        <v>34</v>
      </c>
      <c r="B308" s="159">
        <v>12700</v>
      </c>
      <c r="C308" s="160">
        <v>23040</v>
      </c>
      <c r="D308" s="160">
        <v>23040</v>
      </c>
      <c r="H308" s="140"/>
      <c r="J308" s="140"/>
      <c r="L308" s="141" t="s">
        <v>195</v>
      </c>
      <c r="M308" s="161">
        <f>VLOOKUP(N308,N303:O306,2,0)</f>
        <v>7</v>
      </c>
      <c r="N308" s="161" t="str">
        <f>IF(AND(O303&lt;=O306),N303,N306)</f>
        <v>AGI 1</v>
      </c>
      <c r="O308" s="161">
        <f>VLOOKUP(N308,N303:R306,4,0)</f>
        <v>11860</v>
      </c>
      <c r="S308" s="163" t="s">
        <v>142</v>
      </c>
      <c r="T308" s="141">
        <v>1</v>
      </c>
      <c r="U308" s="141">
        <f>IF(AND(T308&lt;M314),O313,IF(AND(T308&gt;=M314,T308&lt;M315),O314,IF(AND(T308&gt;=M315,T308&lt;M316),O315,IF(AND(T308&gt;=M316,T308&lt;M317),O316,O317))))</f>
        <v>11530</v>
      </c>
      <c r="V308" s="141">
        <f>IF(AND(T308&lt;M308),O307,IF(AND(T308&gt;=M308,T308&lt;M309),O308,IF(AND(T308&gt;=M309,T308&lt;M310),O309,IF(AND(T308&gt;=M310,T308&lt;M311),O310,O311))))</f>
        <v>11530</v>
      </c>
    </row>
    <row r="309" spans="1:22" s="141" customFormat="1" ht="20.25" customHeight="1" hidden="1">
      <c r="A309" s="145">
        <v>35</v>
      </c>
      <c r="B309" s="159">
        <v>13030</v>
      </c>
      <c r="C309" s="160">
        <v>23650</v>
      </c>
      <c r="D309" s="160">
        <v>23650</v>
      </c>
      <c r="H309" s="140"/>
      <c r="J309" s="140"/>
      <c r="M309" s="161">
        <f>VLOOKUP(N309,N303:O306,2,0)</f>
        <v>19</v>
      </c>
      <c r="N309" s="161" t="str">
        <f>IF(AND(O304&lt;=O306),N304,IF(AND(O304&gt;O306,O303&gt;O306),N303,N306))</f>
        <v>AGI 2</v>
      </c>
      <c r="O309" s="161">
        <f>VLOOKUP(N309,N303:R306,4,0)</f>
        <v>12190</v>
      </c>
      <c r="S309" s="163" t="s">
        <v>143</v>
      </c>
      <c r="T309" s="141">
        <v>2</v>
      </c>
      <c r="U309" s="141">
        <f>IF(AND(T309&lt;M314),O313,IF(AND(T309&gt;=M314,T309&lt;M315),O314,IF(AND(T309&gt;=M315,T309&lt;M316),O315,IF(AND(T309&gt;=M316,T309&lt;M317),O316,O317))))</f>
        <v>11530</v>
      </c>
      <c r="V309" s="141">
        <f>IF(AND(T309&lt;M308),O307,IF(AND(T309&gt;=M308,T309&lt;M309),O308,IF(AND(T309&gt;=M309,T309&lt;M310),O309,IF(AND(T309&gt;=M310,T309&lt;M311),O310,O311))))</f>
        <v>11530</v>
      </c>
    </row>
    <row r="310" spans="1:22" s="141" customFormat="1" ht="20.25" customHeight="1" hidden="1">
      <c r="A310" s="145">
        <v>36</v>
      </c>
      <c r="B310" s="159">
        <v>13390</v>
      </c>
      <c r="C310" s="160">
        <v>24300</v>
      </c>
      <c r="D310" s="160">
        <v>24300</v>
      </c>
      <c r="H310" s="140"/>
      <c r="J310" s="140"/>
      <c r="M310" s="161">
        <f>VLOOKUP(N310,N303:O306,2,0)</f>
        <v>20</v>
      </c>
      <c r="N310" s="161" t="str">
        <f>IF(AND(O305&lt;=O306),N305,IF(AND(O305&gt;O306,O304&gt;O306),N304,N306))</f>
        <v>AAS</v>
      </c>
      <c r="O310" s="161">
        <f>VLOOKUP(N310,N303:R306,4,0)</f>
        <v>12550</v>
      </c>
      <c r="S310" s="163" t="s">
        <v>144</v>
      </c>
      <c r="T310" s="141">
        <v>3</v>
      </c>
      <c r="U310" s="141">
        <f>IF(AND(T310&lt;M314),O313,IF(AND(T310&gt;=M314,T310&lt;M315),O314,IF(AND(T310&gt;=M315,T310&lt;M316),O315,IF(AND(T310&gt;=M316,T310&lt;M317),O316,O317))))</f>
        <v>11530</v>
      </c>
      <c r="V310" s="141">
        <f>IF(AND(T310&lt;M308),O307,IF(AND(T310&gt;=M308,T310&lt;M309),O308,IF(AND(T310&gt;=M309,T310&lt;M310),O309,IF(AND(T310&gt;=M310,T310&lt;M311),O310,O311))))</f>
        <v>11530</v>
      </c>
    </row>
    <row r="311" spans="1:22" s="141" customFormat="1" ht="20.25" customHeight="1" hidden="1">
      <c r="A311" s="145">
        <v>37</v>
      </c>
      <c r="B311" s="159">
        <v>13750</v>
      </c>
      <c r="C311" s="160">
        <v>24950</v>
      </c>
      <c r="D311" s="160">
        <v>24950</v>
      </c>
      <c r="H311" s="140"/>
      <c r="J311" s="140"/>
      <c r="M311" s="161">
        <f>VLOOKUP(N311,N303:O306,2,0)</f>
        <v>50</v>
      </c>
      <c r="N311" s="161" t="str">
        <f>IF(AND(O305&gt;O306),N305,N306)</f>
        <v>AGI 3</v>
      </c>
      <c r="O311" s="161">
        <f>VLOOKUP(N311,N303:R306,4,0)</f>
        <v>12910</v>
      </c>
      <c r="S311" s="163" t="s">
        <v>145</v>
      </c>
      <c r="T311" s="141">
        <v>4</v>
      </c>
      <c r="U311" s="141">
        <f>IF(AND(T311&lt;M314),O313,IF(AND(T311&gt;=M314,T311&lt;M315),O314,IF(AND(T311&gt;=M315,T311&lt;M316),O315,IF(AND(T311&gt;=M316,T311&lt;M317),O316,O317))))</f>
        <v>11860</v>
      </c>
      <c r="V311" s="141">
        <f>IF(AND(T311&lt;M308),O307,IF(AND(T311&gt;=M308,T311&lt;M309),O308,IF(AND(T311&gt;=M309,T311&lt;M310),O309,IF(AND(T311&gt;=M310,T311&lt;M311),O310,O311))))</f>
        <v>11530</v>
      </c>
    </row>
    <row r="312" spans="1:22" s="141" customFormat="1" ht="20.25" customHeight="1" hidden="1">
      <c r="A312" s="145">
        <v>38</v>
      </c>
      <c r="B312" s="159">
        <v>14175</v>
      </c>
      <c r="C312" s="160">
        <v>26300</v>
      </c>
      <c r="D312" s="160">
        <v>26300</v>
      </c>
      <c r="H312" s="140"/>
      <c r="J312" s="140"/>
      <c r="M312" s="161"/>
      <c r="N312" s="161"/>
      <c r="O312" s="161"/>
      <c r="S312" s="163" t="s">
        <v>146</v>
      </c>
      <c r="T312" s="141">
        <v>5</v>
      </c>
      <c r="U312" s="141">
        <f>IF(AND(T312&lt;M314),O313,IF(AND(T312&gt;=M314,T312&lt;M315),O314,IF(AND(T312&gt;=M315,T312&lt;M316),O315,IF(AND(T312&gt;=M316,T312&lt;M317),O316,O317))))</f>
        <v>11860</v>
      </c>
      <c r="V312" s="141">
        <f>IF(AND(T312&lt;M308),O307,IF(AND(T312&gt;=M308,T312&lt;M309),O308,IF(AND(T312&gt;=M309,T312&lt;M310),O309,IF(AND(T312&gt;=M310,T312&lt;M311),O310,O311))))</f>
        <v>11530</v>
      </c>
    </row>
    <row r="313" spans="1:22" s="141" customFormat="1" ht="20.25" customHeight="1" hidden="1">
      <c r="A313" s="145">
        <v>39</v>
      </c>
      <c r="B313" s="159">
        <v>14600</v>
      </c>
      <c r="C313" s="160">
        <v>27000</v>
      </c>
      <c r="D313" s="160">
        <v>27000</v>
      </c>
      <c r="H313" s="140"/>
      <c r="J313" s="140"/>
      <c r="M313" s="161"/>
      <c r="N313" s="161"/>
      <c r="O313" s="161">
        <f>P301</f>
        <v>11530</v>
      </c>
      <c r="S313" s="163" t="s">
        <v>147</v>
      </c>
      <c r="T313" s="141">
        <v>6</v>
      </c>
      <c r="U313" s="141">
        <f>IF(AND(T313&lt;M314),O313,IF(AND(T313&gt;=M314,T313&lt;M315),O314,IF(AND(T313&gt;=M315,T313&lt;M316),O315,IF(AND(T313&gt;=M316,T313&lt;M317),O316,O317))))</f>
        <v>11860</v>
      </c>
      <c r="V313" s="141">
        <f>IF(AND(T313&lt;M308),O307,IF(AND(T313&gt;=M308,T313&lt;M309),O308,IF(AND(T313&gt;=M309,T313&lt;M310),O309,IF(AND(T313&gt;=M310,T313&lt;M311),O310,O311))))</f>
        <v>11530</v>
      </c>
    </row>
    <row r="314" spans="1:22" s="141" customFormat="1" ht="20.25" customHeight="1" hidden="1">
      <c r="A314" s="145">
        <v>40</v>
      </c>
      <c r="B314" s="159">
        <v>15025</v>
      </c>
      <c r="C314" s="160">
        <v>27700</v>
      </c>
      <c r="D314" s="160">
        <v>27700</v>
      </c>
      <c r="H314" s="140"/>
      <c r="J314" s="140"/>
      <c r="L314" s="141" t="s">
        <v>194</v>
      </c>
      <c r="M314" s="161">
        <f>VLOOKUP(N308,N303:P306,3,0)</f>
        <v>4</v>
      </c>
      <c r="N314" s="161" t="str">
        <f>IF(AND(P303&lt;=P306),N303,N306)</f>
        <v>AGI 1</v>
      </c>
      <c r="O314" s="161">
        <f>VLOOKUP(N314,N303:R306,5,0)</f>
        <v>11860</v>
      </c>
      <c r="P314" s="141" t="str">
        <f>VLOOKUP(N314,N303:S306,6,0)</f>
        <v>1.10.2008</v>
      </c>
      <c r="S314" s="163" t="s">
        <v>148</v>
      </c>
      <c r="T314" s="141">
        <v>7</v>
      </c>
      <c r="U314" s="141">
        <f>IF(AND(T314&lt;M314),O313,IF(AND(T314&gt;=M314,T314&lt;M315),O314,IF(AND(T314&gt;=M315,T314&lt;M316),O315,IF(AND(T314&gt;=M316,T314&lt;M317),O316,O317))))</f>
        <v>11860</v>
      </c>
      <c r="V314" s="141">
        <f>IF(AND(T314&lt;M308),O307,IF(AND(T314&gt;=M308,T314&lt;M309),O308,IF(AND(T314&gt;=M309,T314&lt;M310),O309,IF(AND(T314&gt;=M310,T314&lt;M311),O310,O311))))</f>
        <v>11860</v>
      </c>
    </row>
    <row r="315" spans="1:22" s="141" customFormat="1" ht="20.25" customHeight="1" hidden="1">
      <c r="A315" s="145">
        <v>41</v>
      </c>
      <c r="B315" s="159">
        <v>15500</v>
      </c>
      <c r="C315" s="160">
        <v>28450</v>
      </c>
      <c r="D315" s="160">
        <v>28450</v>
      </c>
      <c r="H315" s="140"/>
      <c r="J315" s="140"/>
      <c r="M315" s="161">
        <f>VLOOKUP(N309,N303:P306,3,0)</f>
        <v>16</v>
      </c>
      <c r="N315" s="161" t="str">
        <f>IF(AND(P304&lt;=P306),N304,IF(AND(P304&gt;P306,P303&gt;P306),N303,N306))</f>
        <v>AGI 2</v>
      </c>
      <c r="O315" s="161">
        <f>VLOOKUP(N315,N303:R306,5,0)</f>
        <v>12190</v>
      </c>
      <c r="P315" s="141" t="str">
        <f>VLOOKUP(N315,N303:S306,6,0)</f>
        <v>1.10.2009</v>
      </c>
      <c r="S315" s="163" t="s">
        <v>149</v>
      </c>
      <c r="T315" s="141">
        <v>8</v>
      </c>
      <c r="U315" s="141">
        <f>IF(AND(T315&lt;M314),O313,IF(AND(T315&gt;=M314,T315&lt;M315),O314,IF(AND(T315&gt;=M315,T315&lt;M316),O315,IF(AND(T315&gt;=M316,T315&lt;M317),O316,O317))))</f>
        <v>11860</v>
      </c>
      <c r="V315" s="141">
        <f>IF(AND(T315&lt;M308),O307,IF(AND(T315&gt;=M308,T315&lt;M309),O308,IF(AND(T315&gt;=M309,T315&lt;M310),O309,IF(AND(T315&gt;=M310,T315&lt;M311),O310,O311))))</f>
        <v>11860</v>
      </c>
    </row>
    <row r="316" spans="1:22" s="141" customFormat="1" ht="20.25" customHeight="1" hidden="1">
      <c r="A316" s="145">
        <v>42</v>
      </c>
      <c r="B316" s="159">
        <v>15975</v>
      </c>
      <c r="C316" s="160">
        <v>29200</v>
      </c>
      <c r="D316" s="160">
        <v>29200</v>
      </c>
      <c r="H316" s="140"/>
      <c r="J316" s="140"/>
      <c r="M316" s="161">
        <f>VLOOKUP(N310,N303:P306,3,0)</f>
        <v>20</v>
      </c>
      <c r="N316" s="161" t="str">
        <f>IF(AND(P305&lt;=P306),N305,IF(AND(P305&gt;P306,P304&gt;P306),N304,N306))</f>
        <v>AAS</v>
      </c>
      <c r="O316" s="161">
        <f>VLOOKUP(N316,N303:R306,5,0)</f>
        <v>12550</v>
      </c>
      <c r="P316" s="141" t="str">
        <f>VLOOKUP(N316,N303:S306,6,0)</f>
        <v>18.2.2010</v>
      </c>
      <c r="S316" s="163" t="s">
        <v>150</v>
      </c>
      <c r="T316" s="141">
        <v>9</v>
      </c>
      <c r="U316" s="141">
        <f>IF(AND(T316&lt;M314),O313,IF(AND(T316&gt;=M314,T316&lt;M315),O314,IF(AND(T316&gt;=M315,T316&lt;M316),O315,IF(AND(T316&gt;=M316,T316&lt;M317),O316,O317))))</f>
        <v>11860</v>
      </c>
      <c r="V316" s="141">
        <f>IF(AND(T316&lt;M308),O307,IF(AND(T316&gt;=M308,T316&lt;M309),O308,IF(AND(T316&gt;=M309,T316&lt;M310),O309,IF(AND(T316&gt;=M310,T316&lt;M311),O310,O311))))</f>
        <v>11860</v>
      </c>
    </row>
    <row r="317" spans="1:22" s="141" customFormat="1" ht="20.25" customHeight="1" hidden="1">
      <c r="A317" s="145">
        <v>43</v>
      </c>
      <c r="B317" s="159">
        <v>16450</v>
      </c>
      <c r="C317" s="160">
        <v>29950</v>
      </c>
      <c r="D317" s="160">
        <v>29950</v>
      </c>
      <c r="H317" s="140"/>
      <c r="J317" s="140"/>
      <c r="M317" s="161">
        <f>VLOOKUP(N311,N303:P306,3,0)</f>
        <v>28</v>
      </c>
      <c r="N317" s="161" t="str">
        <f>IF(AND(P305&gt;P306),N305,N306)</f>
        <v>AGI 3</v>
      </c>
      <c r="O317" s="161">
        <f>VLOOKUP(N317,N303:R306,5,0)</f>
        <v>12910</v>
      </c>
      <c r="P317" s="141" t="str">
        <f>VLOOKUP(N317,N303:S306,6,0)</f>
        <v>1.10.2010</v>
      </c>
      <c r="S317" s="163" t="s">
        <v>151</v>
      </c>
      <c r="T317" s="141">
        <v>10</v>
      </c>
      <c r="U317" s="141">
        <f>IF(AND(T317&lt;M314),O313,IF(AND(T317&gt;=M314,T317&lt;M315),O314,IF(AND(T317&gt;=M315,T317&lt;M316),O315,IF(AND(T317&gt;=M316,T317&lt;M317),O316,O317))))</f>
        <v>11860</v>
      </c>
      <c r="V317" s="141">
        <f>IF(AND(T317&lt;M308),O307,IF(AND(T317&gt;=M308,T317&lt;M309),O308,IF(AND(T317&gt;=M309,T317&lt;M310),O309,IF(AND(T317&gt;=M310,T317&lt;M311),O310,O311))))</f>
        <v>11860</v>
      </c>
    </row>
    <row r="318" spans="1:22" s="141" customFormat="1" ht="20.25" customHeight="1" hidden="1">
      <c r="A318" s="145">
        <v>44</v>
      </c>
      <c r="B318" s="159">
        <v>16925</v>
      </c>
      <c r="C318" s="160">
        <v>30750</v>
      </c>
      <c r="D318" s="160">
        <v>30750</v>
      </c>
      <c r="H318" s="140"/>
      <c r="J318" s="140"/>
      <c r="S318" s="163" t="s">
        <v>152</v>
      </c>
      <c r="T318" s="141">
        <v>11</v>
      </c>
      <c r="U318" s="141">
        <f>IF(AND(T318&lt;M314),O313,IF(AND(T318&gt;=M314,T318&lt;M315),O314,IF(AND(T318&gt;=M315,T318&lt;M316),O315,IF(AND(T318&gt;=M316,T318&lt;M317),O316,O317))))</f>
        <v>11860</v>
      </c>
      <c r="V318" s="141">
        <f>IF(AND(T318&lt;M308),O307,IF(AND(T318&gt;=M308,T318&lt;M309),O308,IF(AND(T318&gt;=M309,T318&lt;M310),O309,IF(AND(T318&gt;=M310,T318&lt;M311),O310,O311))))</f>
        <v>11860</v>
      </c>
    </row>
    <row r="319" spans="1:22" s="141" customFormat="1" ht="20.25" customHeight="1" hidden="1">
      <c r="A319" s="145">
        <v>45</v>
      </c>
      <c r="B319" s="159">
        <v>17475</v>
      </c>
      <c r="C319" s="160">
        <v>32350</v>
      </c>
      <c r="D319" s="160">
        <v>32350</v>
      </c>
      <c r="H319" s="140"/>
      <c r="J319" s="140"/>
      <c r="L319" s="141">
        <f>28+G157</f>
        <v>31</v>
      </c>
      <c r="N319" s="141" t="str">
        <f>IF(AND(M314&gt;=50)," ",IF(AND(M314&gt;=L319)," ",N314))</f>
        <v>AGI 1</v>
      </c>
      <c r="O319" s="141" t="str">
        <f>IF(AND(N319="AAS"),"AAS",IF(AND(N319=" ")," ","Annual Grade Increment"))</f>
        <v>Annual Grade Increment</v>
      </c>
      <c r="P319" s="141" t="str">
        <f>IF(AND(M314&gt;=50)," ",IF(AND(M314&gt;=L319)," ",P314))</f>
        <v>1.10.2008</v>
      </c>
      <c r="Q319" s="141">
        <f>IF(AND(M314&gt;=50)," ",IF(AND(M314&gt;=L319)," ",O314))</f>
        <v>11860</v>
      </c>
      <c r="S319" s="163" t="s">
        <v>153</v>
      </c>
      <c r="T319" s="141">
        <v>12</v>
      </c>
      <c r="U319" s="141">
        <f>IF(AND(T319&lt;M314),O313,IF(AND(T319&gt;=M314,T319&lt;M315),O314,IF(AND(T319&gt;=M315,T319&lt;M316),O315,IF(AND(T319&gt;=M316,T319&lt;M317),O316,O317))))</f>
        <v>11860</v>
      </c>
      <c r="V319" s="141">
        <f>IF(AND(T319&lt;M308),O307,IF(AND(T319&gt;=M308,T319&lt;M309),O308,IF(AND(T319&gt;=M309,T319&lt;M310),O309,IF(AND(T319&gt;=M310,T319&lt;M311),O310,O311))))</f>
        <v>11860</v>
      </c>
    </row>
    <row r="320" spans="1:22" s="141" customFormat="1" ht="20.25" customHeight="1" hidden="1">
      <c r="A320" s="145">
        <v>46</v>
      </c>
      <c r="B320" s="159">
        <v>18025</v>
      </c>
      <c r="C320" s="160">
        <v>33200</v>
      </c>
      <c r="D320" s="160">
        <v>33200</v>
      </c>
      <c r="H320" s="140"/>
      <c r="J320" s="140"/>
      <c r="L320" s="141">
        <f>L319</f>
        <v>31</v>
      </c>
      <c r="N320" s="141" t="str">
        <f>IF(AND(M315&gt;=50)," ",IF(AND(M315&gt;=L320)," ",N315))</f>
        <v>AGI 2</v>
      </c>
      <c r="O320" s="141" t="str">
        <f>IF(AND(N320="AAS"),"AAS",IF(AND(N320=" ")," ","Annual Grade Increment"))</f>
        <v>Annual Grade Increment</v>
      </c>
      <c r="P320" s="141" t="str">
        <f>IF(AND(M315&gt;=50)," ",IF(AND(M315&gt;=L320)," ",P315))</f>
        <v>1.10.2009</v>
      </c>
      <c r="Q320" s="141">
        <f>IF(AND(M315&gt;=50)," ",IF(AND(M315&gt;=L320)," ",O315))</f>
        <v>12190</v>
      </c>
      <c r="S320" s="163" t="s">
        <v>154</v>
      </c>
      <c r="T320" s="141">
        <v>13</v>
      </c>
      <c r="U320" s="141">
        <f>IF(AND(T320&lt;M314),O313,IF(AND(T320&gt;=M314,T320&lt;M315),O314,IF(AND(T320&gt;=M315,T320&lt;M316),O315,IF(AND(T320&gt;=M316,T320&lt;M317),O316,O317))))</f>
        <v>11860</v>
      </c>
      <c r="V320" s="141">
        <f>IF(AND(T320&lt;M308),O307,IF(AND(T320&gt;=M308,T320&lt;M309),O308,IF(AND(T320&gt;=M309,T320&lt;M310),O309,IF(AND(T320&gt;=M310,T320&lt;M311),O310,O311))))</f>
        <v>11860</v>
      </c>
    </row>
    <row r="321" spans="1:22" s="141" customFormat="1" ht="20.25" customHeight="1" hidden="1">
      <c r="A321" s="145">
        <v>47</v>
      </c>
      <c r="B321" s="159">
        <v>18575</v>
      </c>
      <c r="C321" s="160">
        <v>34050</v>
      </c>
      <c r="D321" s="160">
        <v>34050</v>
      </c>
      <c r="H321" s="140"/>
      <c r="J321" s="140"/>
      <c r="L321" s="141">
        <f>L320</f>
        <v>31</v>
      </c>
      <c r="N321" s="141" t="str">
        <f>IF(AND(M316&gt;=50)," ",IF(AND(M316&gt;=L321)," ",N316))</f>
        <v>AAS</v>
      </c>
      <c r="O321" s="141" t="str">
        <f>IF(AND(N321="AAS"),"AAS",IF(AND(N321=" ")," ","Annual Grade Increment"))</f>
        <v>AAS</v>
      </c>
      <c r="P321" s="141" t="str">
        <f>IF(AND(M316&gt;=50)," ",IF(AND(M316&gt;=L321)," ",P316))</f>
        <v>18.2.2010</v>
      </c>
      <c r="Q321" s="141">
        <f>IF(AND(M316&gt;=50)," ",IF(AND(M316&gt;=L321)," ",O316))</f>
        <v>12550</v>
      </c>
      <c r="S321" s="163" t="s">
        <v>155</v>
      </c>
      <c r="T321" s="141">
        <v>14</v>
      </c>
      <c r="U321" s="141">
        <f>IF(AND(T321&lt;M314),O313,IF(AND(T321&gt;=M314,T321&lt;M315),O314,IF(AND(T321&gt;=M315,T321&lt;M316),O315,IF(AND(T321&gt;=M316,T321&lt;M317),O316,O317))))</f>
        <v>11860</v>
      </c>
      <c r="V321" s="141">
        <f>IF(AND(T321&lt;M308),O307,IF(AND(T321&gt;=M308,T321&lt;M309),O308,IF(AND(T321&gt;=M309,T321&lt;M310),O309,IF(AND(T321&gt;=M310,T321&lt;M311),O310,O311))))</f>
        <v>11860</v>
      </c>
    </row>
    <row r="322" spans="1:22" s="141" customFormat="1" ht="20.25" customHeight="1" hidden="1">
      <c r="A322" s="145">
        <v>48</v>
      </c>
      <c r="B322" s="159">
        <v>19125</v>
      </c>
      <c r="C322" s="160">
        <v>34900</v>
      </c>
      <c r="D322" s="160">
        <v>34900</v>
      </c>
      <c r="H322" s="140"/>
      <c r="J322" s="140"/>
      <c r="L322" s="141">
        <f>L321</f>
        <v>31</v>
      </c>
      <c r="N322" s="141" t="str">
        <f>IF(AND(M317&gt;=50)," ",IF(AND(M317&gt;=L322)," ",N317))</f>
        <v>AGI 3</v>
      </c>
      <c r="O322" s="141" t="str">
        <f>IF(AND(N322="AAS"),"AAS",IF(AND(N322=" ")," ","Annual Grade Increment"))</f>
        <v>Annual Grade Increment</v>
      </c>
      <c r="P322" s="141" t="str">
        <f>IF(AND(M317&gt;=50)," ",IF(AND(M317&gt;=L322)," ",P317))</f>
        <v>1.10.2010</v>
      </c>
      <c r="Q322" s="141">
        <f>IF(AND(M317&gt;=50)," ",IF(AND(M317&gt;=L322)," ",O317))</f>
        <v>12910</v>
      </c>
      <c r="S322" s="163" t="s">
        <v>156</v>
      </c>
      <c r="T322" s="141">
        <v>15</v>
      </c>
      <c r="U322" s="141">
        <f>IF(AND(T322&lt;M314),O313,IF(AND(T322&gt;=M314,T322&lt;M315),O314,IF(AND(T322&gt;=M315,T322&lt;M316),O315,IF(AND(T322&gt;=M316,T322&lt;M317),O316,O317))))</f>
        <v>11860</v>
      </c>
      <c r="V322" s="141">
        <f>IF(AND(T322&lt;M308),O307,IF(AND(T322&gt;=M308,T322&lt;M309),O308,IF(AND(T322&gt;=M309,T322&lt;M310),O309,IF(AND(T322&gt;=M310,T322&lt;M311),O310,O311))))</f>
        <v>11860</v>
      </c>
    </row>
    <row r="323" spans="1:22" s="141" customFormat="1" ht="20.25" customHeight="1" hidden="1">
      <c r="A323" s="145">
        <v>49</v>
      </c>
      <c r="B323" s="159">
        <v>19675</v>
      </c>
      <c r="C323" s="160">
        <v>35800</v>
      </c>
      <c r="D323" s="160">
        <v>35800</v>
      </c>
      <c r="H323" s="140"/>
      <c r="J323" s="140"/>
      <c r="O323" s="141" t="str">
        <f>CONCATENATE("Rs. ",Q319,"/-")</f>
        <v>Rs. 11860/-</v>
      </c>
      <c r="P323" s="141" t="str">
        <f>IF(AND(M314&gt;=50)," ",IF(AND(M314&gt;=L319)," ",O323))</f>
        <v>Rs. 11860/-</v>
      </c>
      <c r="S323" s="163" t="s">
        <v>157</v>
      </c>
      <c r="T323" s="141">
        <v>16</v>
      </c>
      <c r="U323" s="141">
        <f>IF(AND(T323&lt;M314),O313,IF(AND(T323&gt;=M314,T323&lt;M315),O314,IF(AND(T323&gt;=M315,T323&lt;M316),O315,IF(AND(T323&gt;=M316,T323&lt;M317),O316,O317))))</f>
        <v>12190</v>
      </c>
      <c r="V323" s="141">
        <f>IF(AND(T323&lt;M308),O307,IF(AND(T323&gt;=M308,T323&lt;M309),O308,IF(AND(T323&gt;=M309,T323&lt;M310),O309,IF(AND(T323&gt;=M310,T323&lt;M311),O310,O311))))</f>
        <v>11860</v>
      </c>
    </row>
    <row r="324" spans="1:22" s="141" customFormat="1" ht="20.25" customHeight="1" hidden="1">
      <c r="A324" s="145">
        <v>50</v>
      </c>
      <c r="B324" s="159">
        <v>20300</v>
      </c>
      <c r="C324" s="160">
        <v>37600</v>
      </c>
      <c r="D324" s="160">
        <v>37600</v>
      </c>
      <c r="H324" s="140"/>
      <c r="J324" s="140"/>
      <c r="O324" s="141" t="str">
        <f>CONCATENATE("Rs. ",Q320,"/-")</f>
        <v>Rs. 12190/-</v>
      </c>
      <c r="P324" s="141" t="str">
        <f>IF(AND(M315&gt;=50)," ",IF(AND(M315&gt;=L320)," ",O324))</f>
        <v>Rs. 12190/-</v>
      </c>
      <c r="S324" s="163" t="s">
        <v>158</v>
      </c>
      <c r="T324" s="141">
        <v>17</v>
      </c>
      <c r="U324" s="141">
        <f>IF(AND(T324&lt;M314),O313,IF(AND(T324&gt;=M314,T324&lt;M315),O314,IF(AND(T324&gt;=M315,T324&lt;M316),O315,IF(AND(T324&gt;=M316,T324&lt;M317),O316,O317))))</f>
        <v>12190</v>
      </c>
      <c r="V324" s="141">
        <f>IF(AND(T324&lt;M308),O307,IF(AND(T324&gt;=M308,T324&lt;M309),O308,IF(AND(T324&gt;=M309,T324&lt;M310),O309,IF(AND(T324&gt;=M310,T324&lt;M311),O310,O311))))</f>
        <v>11860</v>
      </c>
    </row>
    <row r="325" spans="1:22" s="141" customFormat="1" ht="20.25" customHeight="1" hidden="1">
      <c r="A325" s="145">
        <v>51</v>
      </c>
      <c r="B325" s="159">
        <v>20925</v>
      </c>
      <c r="C325" s="160">
        <v>38570</v>
      </c>
      <c r="D325" s="160">
        <v>38570</v>
      </c>
      <c r="H325" s="140"/>
      <c r="J325" s="140"/>
      <c r="O325" s="141" t="str">
        <f>CONCATENATE("Rs. ",Q321,"/-")</f>
        <v>Rs. 12550/-</v>
      </c>
      <c r="P325" s="141" t="str">
        <f>IF(AND(M316&gt;=50)," ",IF(AND(M316&gt;=L321)," ",O325))</f>
        <v>Rs. 12550/-</v>
      </c>
      <c r="S325" s="163" t="s">
        <v>159</v>
      </c>
      <c r="T325" s="141">
        <v>18</v>
      </c>
      <c r="U325" s="141">
        <f>IF(AND(T325&lt;M314),O313,IF(AND(T325&gt;=M314,T325&lt;M315),O314,IF(AND(T325&gt;=M315,T325&lt;M316),O315,IF(AND(T325&gt;=M316,T325&lt;M317),O316,O317))))</f>
        <v>12190</v>
      </c>
      <c r="V325" s="141">
        <f>IF(AND(T325&lt;M308),O307,IF(AND(T325&gt;=M308,T325&lt;M309),O308,IF(AND(T325&gt;=M309,T325&lt;M310),O309,IF(AND(T325&gt;=M310,T325&lt;M311),O310,O311))))</f>
        <v>11860</v>
      </c>
    </row>
    <row r="326" spans="1:22" s="141" customFormat="1" ht="20.25" customHeight="1" hidden="1">
      <c r="A326" s="145">
        <v>52</v>
      </c>
      <c r="B326" s="159">
        <v>21550</v>
      </c>
      <c r="C326" s="160">
        <v>39540</v>
      </c>
      <c r="D326" s="160">
        <v>39540</v>
      </c>
      <c r="H326" s="140"/>
      <c r="J326" s="140"/>
      <c r="O326" s="141" t="str">
        <f>CONCATENATE("Rs. ",Q322,"/-")</f>
        <v>Rs. 12910/-</v>
      </c>
      <c r="P326" s="141" t="str">
        <f>IF(AND(M317&gt;=50)," ",IF(AND(M317&gt;=L322)," ",O326))</f>
        <v>Rs. 12910/-</v>
      </c>
      <c r="S326" s="163" t="s">
        <v>160</v>
      </c>
      <c r="T326" s="141">
        <v>19</v>
      </c>
      <c r="U326" s="141">
        <f>IF(AND(T326&lt;M314),O313,IF(AND(T326&gt;=M314,T326&lt;M315),O314,IF(AND(T326&gt;=M315,T326&lt;M316),O315,IF(AND(T326&gt;=M316,T326&lt;M317),O316,O317))))</f>
        <v>12190</v>
      </c>
      <c r="V326" s="141">
        <f>IF(AND(T326&lt;M308),O307,IF(AND(T326&gt;=M308,T326&lt;M309),O308,IF(AND(T326&gt;=M309,T326&lt;M310),O309,IF(AND(T326&gt;=M310,T326&lt;M311),O310,O311))))</f>
        <v>12190</v>
      </c>
    </row>
    <row r="327" spans="1:22" s="141" customFormat="1" ht="20.25" customHeight="1" hidden="1">
      <c r="A327" s="145">
        <v>53</v>
      </c>
      <c r="B327" s="159">
        <v>22175</v>
      </c>
      <c r="C327" s="160">
        <v>40510</v>
      </c>
      <c r="D327" s="160">
        <v>40510</v>
      </c>
      <c r="H327" s="140"/>
      <c r="J327" s="140"/>
      <c r="S327" s="163" t="s">
        <v>161</v>
      </c>
      <c r="T327" s="141">
        <v>20</v>
      </c>
      <c r="U327" s="141">
        <f>IF(AND(T327&lt;M314),O313,IF(AND(T327&gt;=M314,T327&lt;M315),O314,IF(AND(T327&gt;=M315,T327&lt;M316),O315,IF(AND(T327&gt;=M316,T327&lt;M317),O316,O317))))</f>
        <v>12550</v>
      </c>
      <c r="V327" s="141">
        <f>IF(AND(T327&lt;M308),O307,IF(AND(T327&gt;=M308,T327&lt;M309),O308,IF(AND(T327&gt;=M309,T327&lt;M310),O309,IF(AND(T327&gt;=M310,T327&lt;M311),O310,O311))))</f>
        <v>12550</v>
      </c>
    </row>
    <row r="328" spans="1:22" s="141" customFormat="1" ht="20.25" customHeight="1" hidden="1">
      <c r="A328" s="145">
        <v>54</v>
      </c>
      <c r="B328" s="159">
        <v>22800</v>
      </c>
      <c r="C328" s="160">
        <v>41550</v>
      </c>
      <c r="D328" s="160">
        <v>41550</v>
      </c>
      <c r="H328" s="140"/>
      <c r="J328" s="140"/>
      <c r="S328" s="163" t="s">
        <v>162</v>
      </c>
      <c r="T328" s="141">
        <v>21</v>
      </c>
      <c r="U328" s="141">
        <f>IF(AND(T328&lt;M314),O313,IF(AND(T328&gt;=M314,T328&lt;M315),O314,IF(AND(T328&gt;=M315,T328&lt;M316),O315,IF(AND(T328&gt;=M316,T328&lt;M317),O316,O317))))</f>
        <v>12550</v>
      </c>
      <c r="V328" s="141">
        <f>IF(AND(T328&lt;M308),O307,IF(AND(T328&gt;=M308,T328&lt;M309),O308,IF(AND(T328&gt;=M309,T328&lt;M310),O309,IF(AND(T328&gt;=M310,T328&lt;M311),O310,O311))))</f>
        <v>12550</v>
      </c>
    </row>
    <row r="329" spans="1:22" s="141" customFormat="1" ht="20.25" customHeight="1" hidden="1">
      <c r="A329" s="145">
        <v>55</v>
      </c>
      <c r="B329" s="159">
        <v>23500</v>
      </c>
      <c r="C329" s="160">
        <v>43630</v>
      </c>
      <c r="D329" s="160">
        <v>43630</v>
      </c>
      <c r="H329" s="140"/>
      <c r="J329" s="140"/>
      <c r="S329" s="163" t="s">
        <v>163</v>
      </c>
      <c r="T329" s="141">
        <v>22</v>
      </c>
      <c r="U329" s="141">
        <f>IF(AND(T329&lt;M314),O313,IF(AND(T329&gt;=M314,T329&lt;M315),O314,IF(AND(T329&gt;=M315,T329&lt;M316),O315,IF(AND(T329&gt;=M316,T329&lt;M317),O316,O317))))</f>
        <v>12550</v>
      </c>
      <c r="V329" s="141">
        <f>IF(AND(T329&lt;M308),O307,IF(AND(T329&gt;=M308,T329&lt;M309),O308,IF(AND(T329&gt;=M309,T329&lt;M310),O309,IF(AND(T329&gt;=M310,T329&lt;M311),O310,O311))))</f>
        <v>12550</v>
      </c>
    </row>
    <row r="330" spans="1:22" s="141" customFormat="1" ht="20.25" customHeight="1" hidden="1">
      <c r="A330" s="145">
        <v>56</v>
      </c>
      <c r="B330" s="159">
        <v>24200</v>
      </c>
      <c r="C330" s="160">
        <v>44740</v>
      </c>
      <c r="D330" s="160">
        <v>44740</v>
      </c>
      <c r="H330" s="140"/>
      <c r="J330" s="140"/>
      <c r="S330" s="163" t="s">
        <v>164</v>
      </c>
      <c r="T330" s="141">
        <v>23</v>
      </c>
      <c r="U330" s="141">
        <f>IF(AND(T330&lt;M314),O313,IF(AND(T330&gt;=M314,T330&lt;M315),O314,IF(AND(T330&gt;=M315,T330&lt;M316),O315,IF(AND(T330&gt;=M316,T330&lt;M317),O316,O317))))</f>
        <v>12550</v>
      </c>
      <c r="V330" s="141">
        <f>IF(AND(T330&lt;M308),O307,IF(AND(T330&gt;=M308,T330&lt;M309),O308,IF(AND(T330&gt;=M309,T330&lt;M310),O309,IF(AND(T330&gt;=M310,T330&lt;M311),O310,O311))))</f>
        <v>12550</v>
      </c>
    </row>
    <row r="331" spans="1:22" s="141" customFormat="1" ht="20.25" customHeight="1" hidden="1">
      <c r="A331" s="145">
        <v>57</v>
      </c>
      <c r="B331" s="159">
        <v>24900</v>
      </c>
      <c r="C331" s="160">
        <v>45850</v>
      </c>
      <c r="D331" s="160">
        <v>45850</v>
      </c>
      <c r="H331" s="140"/>
      <c r="J331" s="140"/>
      <c r="S331" s="163" t="s">
        <v>165</v>
      </c>
      <c r="T331" s="141">
        <v>24</v>
      </c>
      <c r="U331" s="141">
        <f>IF(AND(T331&lt;M314),O313,IF(AND(T331&gt;=M314,T331&lt;M315),O314,IF(AND(T331&gt;=M315,T331&lt;M316),O315,IF(AND(T331&gt;=M316,T331&lt;M317),O316,O317))))</f>
        <v>12550</v>
      </c>
      <c r="V331" s="141">
        <f>IF(AND(T331&lt;M308),O307,IF(AND(T331&gt;=M308,T331&lt;M309),O308,IF(AND(T331&gt;=M309,T331&lt;M310),O309,IF(AND(T331&gt;=M310,T331&lt;M311),O310,O311))))</f>
        <v>12550</v>
      </c>
    </row>
    <row r="332" spans="1:22" s="141" customFormat="1" ht="20.25" customHeight="1" hidden="1">
      <c r="A332" s="145">
        <v>58</v>
      </c>
      <c r="B332" s="159">
        <v>25600</v>
      </c>
      <c r="C332" s="160">
        <v>46960</v>
      </c>
      <c r="D332" s="160">
        <v>46960</v>
      </c>
      <c r="H332" s="140"/>
      <c r="J332" s="140"/>
      <c r="S332" s="163" t="s">
        <v>166</v>
      </c>
      <c r="T332" s="141">
        <v>25</v>
      </c>
      <c r="U332" s="141">
        <f>IF(AND(T332&lt;M314),O313,IF(AND(T332&gt;=M314,T332&lt;M315),O314,IF(AND(T332&gt;=M315,T332&lt;M316),O315,IF(AND(T332&gt;=M316,T332&lt;M317),O316,O317))))</f>
        <v>12550</v>
      </c>
      <c r="V332" s="141">
        <f>IF(AND(T332&lt;M308),O307,IF(AND(T332&gt;=M308,T332&lt;M309),O308,IF(AND(T332&gt;=M309,T332&lt;M310),O309,IF(AND(T332&gt;=M310,T332&lt;M311),O310,O311))))</f>
        <v>12550</v>
      </c>
    </row>
    <row r="333" spans="1:22" s="141" customFormat="1" ht="20.25" customHeight="1" hidden="1">
      <c r="A333" s="145">
        <v>59</v>
      </c>
      <c r="B333" s="159">
        <v>26300</v>
      </c>
      <c r="C333" s="160">
        <v>48160</v>
      </c>
      <c r="D333" s="160">
        <v>48160</v>
      </c>
      <c r="H333" s="140"/>
      <c r="J333" s="140"/>
      <c r="S333" s="163" t="s">
        <v>167</v>
      </c>
      <c r="T333" s="141">
        <v>26</v>
      </c>
      <c r="U333" s="141">
        <f>IF(AND(T333&lt;M314),O313,IF(AND(T333&gt;=M314,T333&lt;M315),O314,IF(AND(T333&gt;=M315,T333&lt;M316),O315,IF(AND(T333&gt;=M316,T333&lt;M317),O316,O317))))</f>
        <v>12550</v>
      </c>
      <c r="V333" s="141">
        <f>IF(AND(T333&lt;M308),O307,IF(AND(T333&gt;=M308,T333&lt;M309),O308,IF(AND(T333&gt;=M309,T333&lt;M310),O309,IF(AND(T333&gt;=M310,T333&lt;M311),O310,O311))))</f>
        <v>12550</v>
      </c>
    </row>
    <row r="334" spans="1:22" s="141" customFormat="1" ht="20.25" customHeight="1" hidden="1">
      <c r="A334" s="145">
        <v>60</v>
      </c>
      <c r="B334" s="159">
        <v>27000</v>
      </c>
      <c r="C334" s="160">
        <v>49360</v>
      </c>
      <c r="D334" s="160">
        <v>49360</v>
      </c>
      <c r="H334" s="140"/>
      <c r="J334" s="140"/>
      <c r="S334" s="163" t="s">
        <v>168</v>
      </c>
      <c r="T334" s="141">
        <v>27</v>
      </c>
      <c r="U334" s="141">
        <f>IF(AND(T334&lt;M314),O313,IF(AND(T334&gt;=M314,T334&lt;M315),O314,IF(AND(T334&gt;=M315,T334&lt;M316),O315,IF(AND(T334&gt;=M316,T334&lt;M317),O316,O317))))</f>
        <v>12550</v>
      </c>
      <c r="V334" s="141">
        <f>IF(AND(T334&lt;M308),O307,IF(AND(T334&gt;=M308,T334&lt;M309),O308,IF(AND(T334&gt;=M309,T334&lt;M310),O309,IF(AND(T334&gt;=M310,T334&lt;M311),O310,O311))))</f>
        <v>12550</v>
      </c>
    </row>
    <row r="335" spans="1:22" s="141" customFormat="1" ht="20.25" customHeight="1" hidden="1">
      <c r="A335" s="145">
        <v>61</v>
      </c>
      <c r="B335" s="159">
        <v>27750</v>
      </c>
      <c r="C335" s="160">
        <v>50560</v>
      </c>
      <c r="D335" s="160">
        <v>50560</v>
      </c>
      <c r="H335" s="140"/>
      <c r="J335" s="140"/>
      <c r="S335" s="163" t="s">
        <v>169</v>
      </c>
      <c r="T335" s="141">
        <v>28</v>
      </c>
      <c r="U335" s="141">
        <f>IF(AND(T335&lt;M314),O313,IF(AND(T335&gt;=M314,T335&lt;M315),O314,IF(AND(T335&gt;=M315,T335&lt;M316),O315,IF(AND(T335&gt;=M316,T335&lt;M317),O316,O317))))</f>
        <v>12910</v>
      </c>
      <c r="V335" s="141">
        <f>IF(AND(T335&lt;M308),O307,IF(AND(T335&gt;=M308,T335&lt;M309),O308,IF(AND(T335&gt;=M309,T335&lt;M310),O309,IF(AND(T335&gt;=M310,T335&lt;M311),O310,O311))))</f>
        <v>12550</v>
      </c>
    </row>
    <row r="336" spans="1:22" s="141" customFormat="1" ht="20.25" customHeight="1" hidden="1">
      <c r="A336" s="145">
        <v>62</v>
      </c>
      <c r="B336" s="164">
        <v>28500</v>
      </c>
      <c r="C336" s="160">
        <v>51760</v>
      </c>
      <c r="D336" s="160">
        <v>51760</v>
      </c>
      <c r="H336" s="140"/>
      <c r="J336" s="140"/>
      <c r="S336" s="163" t="s">
        <v>170</v>
      </c>
      <c r="T336" s="141">
        <v>29</v>
      </c>
      <c r="U336" s="141">
        <f>IF(AND(T336&lt;M314),O313,IF(AND(T336&gt;=M314,T336&lt;M315),O314,IF(AND(T336&gt;=M315,T336&lt;M316),O315,IF(AND(T336&gt;=M316,T336&lt;M317),O316,O317))))</f>
        <v>12910</v>
      </c>
      <c r="V336" s="141">
        <f>IF(AND(T336&lt;M308),O307,IF(AND(T336&gt;=M308,T336&lt;M309),O308,IF(AND(T336&gt;=M309,T336&lt;M310),O309,IF(AND(T336&gt;=M310,T336&lt;M311),O310,O311))))</f>
        <v>12550</v>
      </c>
    </row>
    <row r="337" spans="1:22" s="141" customFormat="1" ht="20.25" customHeight="1" hidden="1">
      <c r="A337" s="145">
        <v>63</v>
      </c>
      <c r="B337" s="164">
        <v>29250</v>
      </c>
      <c r="C337" s="160">
        <v>53060</v>
      </c>
      <c r="D337" s="160">
        <v>53060</v>
      </c>
      <c r="H337" s="140"/>
      <c r="J337" s="140"/>
      <c r="S337" s="163" t="s">
        <v>171</v>
      </c>
      <c r="T337" s="141">
        <v>30</v>
      </c>
      <c r="U337" s="141">
        <f>IF(AND(T337&lt;M314),O313,IF(AND(T337&gt;=M314,T337&lt;M315),O314,IF(AND(T337&gt;=M315,T337&lt;M316),O315,IF(AND(T337&gt;=M316,T337&lt;M317),O316,O317))))</f>
        <v>12910</v>
      </c>
      <c r="V337" s="141">
        <f>IF(AND(T337&lt;M308),O307,IF(AND(T337&gt;=M308,T337&lt;M309),O308,IF(AND(T337&gt;=M309,T337&lt;M310),O309,IF(AND(T337&gt;=M310,T337&lt;M311),O310,O311))))</f>
        <v>12550</v>
      </c>
    </row>
    <row r="338" spans="1:22" s="141" customFormat="1" ht="20.25" customHeight="1" hidden="1">
      <c r="A338" s="145">
        <v>64</v>
      </c>
      <c r="B338" s="164">
        <v>30000</v>
      </c>
      <c r="C338" s="160">
        <v>55660</v>
      </c>
      <c r="D338" s="160">
        <v>55660</v>
      </c>
      <c r="H338" s="140"/>
      <c r="J338" s="140"/>
      <c r="S338" s="163" t="s">
        <v>172</v>
      </c>
      <c r="T338" s="141">
        <v>31</v>
      </c>
      <c r="U338" s="141">
        <f>IF(AND(T338&lt;M314),O313,IF(AND(T338&gt;=M314,T338&lt;M315),O314,IF(AND(T338&gt;=M315,T338&lt;M316),O315,IF(AND(T338&gt;=M316,T338&lt;M317),O316,O317))))</f>
        <v>12910</v>
      </c>
      <c r="V338" s="141">
        <f>IF(AND(T338&lt;M308),O307,IF(AND(T338&gt;=M308,T338&lt;M309),O308,IF(AND(T338&gt;=M309,T338&lt;M310),O309,IF(AND(T338&gt;=M310,T338&lt;M311),O310,O311))))</f>
        <v>12550</v>
      </c>
    </row>
    <row r="339" spans="1:22" s="141" customFormat="1" ht="20.25" customHeight="1" hidden="1">
      <c r="A339" s="145">
        <v>65</v>
      </c>
      <c r="B339" s="164">
        <v>30765</v>
      </c>
      <c r="C339" s="160">
        <v>56960</v>
      </c>
      <c r="D339" s="160">
        <v>56960</v>
      </c>
      <c r="H339" s="140"/>
      <c r="J339" s="140"/>
      <c r="S339" s="163" t="s">
        <v>173</v>
      </c>
      <c r="T339" s="141">
        <v>32</v>
      </c>
      <c r="U339" s="141">
        <f>IF(AND(T339&lt;M314),O313,IF(AND(T339&gt;=M314,T339&lt;M315),O314,IF(AND(T339&gt;=M315,T339&lt;M316),O315,IF(AND(T339&gt;=M316,T339&lt;M317),O316,O317))))</f>
        <v>12910</v>
      </c>
      <c r="V339" s="141">
        <f>IF(AND(T339&lt;M308),O307,IF(AND(T339&gt;=M308,T339&lt;M309),O308,IF(AND(T339&gt;=M309,T339&lt;M310),O309,IF(AND(T339&gt;=M310,T339&lt;M311),O310,O311))))</f>
        <v>12550</v>
      </c>
    </row>
    <row r="340" spans="1:22" s="141" customFormat="1" ht="20.25" customHeight="1" hidden="1">
      <c r="A340" s="140"/>
      <c r="H340" s="140"/>
      <c r="J340" s="140"/>
      <c r="S340" s="163" t="s">
        <v>174</v>
      </c>
      <c r="T340" s="141">
        <v>33</v>
      </c>
      <c r="U340" s="141">
        <f>IF(AND(T340&lt;M314),O313,IF(AND(T340&gt;=M314,T340&lt;M315),O314,IF(AND(T340&gt;=M315,T340&lt;M316),O315,IF(AND(T340&gt;=M316,T340&lt;M317),O316,O317))))</f>
        <v>12910</v>
      </c>
      <c r="V340" s="141">
        <f>IF(AND(T340&lt;M308),O307,IF(AND(T340&gt;=M308,T340&lt;M309),O308,IF(AND(T340&gt;=M309,T340&lt;M310),O309,IF(AND(T340&gt;=M310,T340&lt;M311),O310,O311))))</f>
        <v>12550</v>
      </c>
    </row>
    <row r="341" spans="1:22" s="141" customFormat="1" ht="20.25" customHeight="1" hidden="1">
      <c r="A341" s="140"/>
      <c r="H341" s="140"/>
      <c r="J341" s="140"/>
      <c r="S341" s="163" t="s">
        <v>175</v>
      </c>
      <c r="T341" s="141">
        <v>34</v>
      </c>
      <c r="U341" s="141">
        <f>IF(AND(T341&lt;M314),O313,IF(AND(T341&gt;=M314,T341&lt;M315),O314,IF(AND(T341&gt;=M315,T341&lt;M316),O315,IF(AND(T341&gt;=M316,T341&lt;M317),O316,O317))))</f>
        <v>12910</v>
      </c>
      <c r="V341" s="141">
        <f>IF(AND(T341&lt;M308),O307,IF(AND(T341&gt;=M308,T341&lt;M309),O308,IF(AND(T341&gt;=M309,T341&lt;M310),O309,IF(AND(T341&gt;=M310,T341&lt;M311),O310,O311))))</f>
        <v>12550</v>
      </c>
    </row>
    <row r="342" spans="1:22" s="141" customFormat="1" ht="20.25" customHeight="1" hidden="1">
      <c r="A342" s="140"/>
      <c r="B342" s="165">
        <v>5470</v>
      </c>
      <c r="C342" s="166">
        <v>5605</v>
      </c>
      <c r="H342" s="140"/>
      <c r="J342" s="140"/>
      <c r="S342" s="163" t="s">
        <v>176</v>
      </c>
      <c r="T342" s="141">
        <v>35</v>
      </c>
      <c r="U342" s="141">
        <f>IF(AND(T342&lt;M314),O313,IF(AND(T342&gt;=M314,T342&lt;M315),O314,IF(AND(T342&gt;=M315,T342&lt;M316),O315,IF(AND(T342&gt;=M316,T342&lt;M317),O316,O317))))</f>
        <v>12910</v>
      </c>
      <c r="V342" s="141">
        <f>IF(AND(T342&lt;M308),O307,IF(AND(T342&gt;=M308,T342&lt;M309),O308,IF(AND(T342&gt;=M309,T342&lt;M310),O309,IF(AND(T342&gt;=M310,T342&lt;M311),O310,O311))))</f>
        <v>12550</v>
      </c>
    </row>
    <row r="343" spans="1:22" s="141" customFormat="1" ht="20.25" customHeight="1" hidden="1">
      <c r="A343" s="140"/>
      <c r="B343" s="165">
        <v>5605</v>
      </c>
      <c r="C343" s="166">
        <v>5750</v>
      </c>
      <c r="H343" s="140"/>
      <c r="J343" s="140"/>
      <c r="S343" s="163" t="s">
        <v>177</v>
      </c>
      <c r="T343" s="141">
        <v>36</v>
      </c>
      <c r="U343" s="141">
        <f>IF(AND(T343&lt;M314),O313,IF(AND(T343&gt;=M314,T343&lt;M315),O314,IF(AND(T343&gt;=M315,T343&lt;M316),O315,IF(AND(T343&gt;=M316,T343&lt;M317),O316,O317))))</f>
        <v>12910</v>
      </c>
      <c r="V343" s="141">
        <f>IF(AND(T343&lt;M308),O307,IF(AND(T343&gt;=M308,T343&lt;M309),O308,IF(AND(T343&gt;=M309,T343&lt;M310),O309,IF(AND(T343&gt;=M310,T343&lt;M311),O310,O311))))</f>
        <v>12550</v>
      </c>
    </row>
    <row r="344" spans="1:22" s="141" customFormat="1" ht="20.25" customHeight="1" hidden="1">
      <c r="A344" s="140"/>
      <c r="B344" s="165">
        <v>5750</v>
      </c>
      <c r="C344" s="166">
        <v>5895</v>
      </c>
      <c r="H344" s="140"/>
      <c r="J344" s="140"/>
      <c r="S344" s="163" t="s">
        <v>178</v>
      </c>
      <c r="T344" s="141">
        <v>37</v>
      </c>
      <c r="U344" s="141">
        <f>IF(AND(T344&lt;M314),O313,IF(AND(T344&gt;=M314,T344&lt;M315),O314,IF(AND(T344&gt;=M315,T344&lt;M316),O315,IF(AND(T344&gt;=M316,T344&lt;M317),O316,O317))))</f>
        <v>12910</v>
      </c>
      <c r="V344" s="141">
        <f>IF(AND(T344&lt;M308),O307,IF(AND(T344&gt;=M308,T344&lt;M309),O308,IF(AND(T344&gt;=M309,T344&lt;M310),O309,IF(AND(T344&gt;=M310,T344&lt;M311),O310,O311))))</f>
        <v>12550</v>
      </c>
    </row>
    <row r="345" spans="1:22" s="141" customFormat="1" ht="20.25" customHeight="1" hidden="1">
      <c r="A345" s="140"/>
      <c r="B345" s="165">
        <v>5895</v>
      </c>
      <c r="C345" s="166">
        <v>6040</v>
      </c>
      <c r="H345" s="140"/>
      <c r="J345" s="140"/>
      <c r="S345" s="163" t="s">
        <v>179</v>
      </c>
      <c r="T345" s="141">
        <v>38</v>
      </c>
      <c r="U345" s="141">
        <f>IF(AND(T345&lt;M314),O313,IF(AND(T345&gt;=M314,T345&lt;M315),O314,IF(AND(T345&gt;=M315,T345&lt;M316),O315,IF(AND(T345&gt;=M316,T345&lt;M317),O316,O317))))</f>
        <v>12910</v>
      </c>
      <c r="V345" s="141">
        <f>IF(AND(T345&lt;M308),O307,IF(AND(T345&gt;=M308,T345&lt;M309),O308,IF(AND(T345&gt;=M309,T345&lt;M310),O309,IF(AND(T345&gt;=M310,T345&lt;M311),O310,O311))))</f>
        <v>12550</v>
      </c>
    </row>
    <row r="346" spans="1:22" s="141" customFormat="1" ht="20.25" customHeight="1" hidden="1">
      <c r="A346" s="140"/>
      <c r="B346" s="165">
        <v>6040</v>
      </c>
      <c r="C346" s="166">
        <v>6195</v>
      </c>
      <c r="H346" s="140"/>
      <c r="J346" s="140"/>
      <c r="S346" s="141" t="str">
        <f>R495</f>
        <v>1-17/2/2010</v>
      </c>
      <c r="T346" s="141">
        <v>100</v>
      </c>
      <c r="U346" s="141">
        <f>IF(AND(P306&gt;=P305),ROUND(R305*(R494-1)/S494,0.1),IF(AND(P306&gt;=P304),ROUND(R304*(R494-1)/S494,0.1),IF(AND(P306&gt;=P303),ROUND(R303*(R494-1)/S494,0.1),ROUND(P301*(R494-1)/S494,0.1))))</f>
        <v>7401</v>
      </c>
      <c r="V346" s="141">
        <f>IF(AND(O306&gt;=306),ROUND(Q305*(R494-1)/S494,0.1),IF(AND(O306&gt;=O304),ROUND(Q304*(R494-1)/S494,0.1),IF(AND(O306&gt;=O303),ROUND(Q303*(R494-1)/S494,0.1),ROUND(O301*(R494-1)/S494,0.1))))</f>
        <v>7401</v>
      </c>
    </row>
    <row r="347" spans="1:22" s="141" customFormat="1" ht="20.25" customHeight="1" hidden="1">
      <c r="A347" s="140"/>
      <c r="B347" s="165">
        <v>6195</v>
      </c>
      <c r="C347" s="166">
        <v>6350</v>
      </c>
      <c r="H347" s="140"/>
      <c r="J347" s="140"/>
      <c r="S347" s="141" t="str">
        <f>S495</f>
        <v>18-28/2/2010</v>
      </c>
      <c r="T347" s="141">
        <v>200</v>
      </c>
      <c r="U347" s="141">
        <f>ROUND(R306*(S494-R494+1)/S494,0.1)</f>
        <v>4930</v>
      </c>
      <c r="V347" s="141">
        <f>ROUND(Q306*(S494-R494+1)/S494,0.1)</f>
        <v>4930</v>
      </c>
    </row>
    <row r="348" spans="1:22" s="141" customFormat="1" ht="20.25" customHeight="1" hidden="1">
      <c r="A348" s="140"/>
      <c r="B348" s="165">
        <v>6350</v>
      </c>
      <c r="C348" s="166">
        <v>6505</v>
      </c>
      <c r="H348" s="140"/>
      <c r="J348" s="140"/>
      <c r="S348" s="141">
        <v>0</v>
      </c>
      <c r="T348" s="141">
        <v>0</v>
      </c>
      <c r="U348" s="141">
        <v>0</v>
      </c>
      <c r="V348" s="141">
        <v>0</v>
      </c>
    </row>
    <row r="349" spans="1:10" s="141" customFormat="1" ht="20.25" customHeight="1" hidden="1">
      <c r="A349" s="140"/>
      <c r="B349" s="165">
        <v>6505</v>
      </c>
      <c r="C349" s="166">
        <v>6675</v>
      </c>
      <c r="H349" s="140"/>
      <c r="J349" s="140"/>
    </row>
    <row r="350" spans="1:10" s="141" customFormat="1" ht="20.25" customHeight="1" hidden="1">
      <c r="A350" s="140"/>
      <c r="B350" s="165">
        <v>6675</v>
      </c>
      <c r="C350" s="166">
        <v>6845</v>
      </c>
      <c r="H350" s="140"/>
      <c r="J350" s="140"/>
    </row>
    <row r="351" spans="1:10" s="141" customFormat="1" ht="20.25" customHeight="1" hidden="1">
      <c r="A351" s="140"/>
      <c r="B351" s="165">
        <v>6845</v>
      </c>
      <c r="C351" s="166">
        <v>7015</v>
      </c>
      <c r="H351" s="140"/>
      <c r="J351" s="140"/>
    </row>
    <row r="352" spans="1:10" s="141" customFormat="1" ht="20.25" customHeight="1" hidden="1">
      <c r="A352" s="140"/>
      <c r="B352" s="165">
        <v>7015</v>
      </c>
      <c r="C352" s="166">
        <v>7200</v>
      </c>
      <c r="H352" s="140"/>
      <c r="J352" s="140"/>
    </row>
    <row r="353" spans="1:10" s="141" customFormat="1" ht="20.25" customHeight="1" hidden="1">
      <c r="A353" s="140"/>
      <c r="B353" s="165">
        <v>7200</v>
      </c>
      <c r="C353" s="166">
        <v>7385</v>
      </c>
      <c r="H353" s="140"/>
      <c r="J353" s="140"/>
    </row>
    <row r="354" spans="1:10" s="141" customFormat="1" ht="20.25" customHeight="1" hidden="1">
      <c r="A354" s="140"/>
      <c r="B354" s="165">
        <v>7385</v>
      </c>
      <c r="C354" s="166">
        <v>7570</v>
      </c>
      <c r="H354" s="140"/>
      <c r="J354" s="140"/>
    </row>
    <row r="355" spans="1:10" s="141" customFormat="1" ht="20.25" customHeight="1" hidden="1">
      <c r="A355" s="140"/>
      <c r="B355" s="165">
        <v>7570</v>
      </c>
      <c r="C355" s="166">
        <v>7770</v>
      </c>
      <c r="H355" s="140"/>
      <c r="J355" s="140"/>
    </row>
    <row r="356" spans="1:10" s="141" customFormat="1" ht="20.25" customHeight="1" hidden="1">
      <c r="A356" s="140"/>
      <c r="B356" s="165">
        <v>7770</v>
      </c>
      <c r="C356" s="166">
        <v>7970</v>
      </c>
      <c r="H356" s="140"/>
      <c r="J356" s="140"/>
    </row>
    <row r="357" spans="1:10" s="141" customFormat="1" ht="20.25" customHeight="1" hidden="1">
      <c r="A357" s="140"/>
      <c r="B357" s="165">
        <v>7970</v>
      </c>
      <c r="C357" s="166">
        <v>8170</v>
      </c>
      <c r="H357" s="140"/>
      <c r="J357" s="140"/>
    </row>
    <row r="358" spans="1:10" s="141" customFormat="1" ht="20.25" customHeight="1" hidden="1">
      <c r="A358" s="140"/>
      <c r="B358" s="165">
        <v>8170</v>
      </c>
      <c r="C358" s="166">
        <v>8385</v>
      </c>
      <c r="H358" s="140"/>
      <c r="J358" s="140"/>
    </row>
    <row r="359" spans="1:10" s="141" customFormat="1" ht="20.25" customHeight="1" hidden="1">
      <c r="A359" s="140"/>
      <c r="B359" s="165">
        <v>8385</v>
      </c>
      <c r="C359" s="166">
        <v>8600</v>
      </c>
      <c r="H359" s="140"/>
      <c r="J359" s="140"/>
    </row>
    <row r="360" spans="1:10" s="141" customFormat="1" ht="20.25" customHeight="1" hidden="1">
      <c r="A360" s="140"/>
      <c r="B360" s="165">
        <v>8600</v>
      </c>
      <c r="C360" s="166">
        <v>8815</v>
      </c>
      <c r="H360" s="140"/>
      <c r="J360" s="140"/>
    </row>
    <row r="361" spans="1:10" s="141" customFormat="1" ht="20.25" customHeight="1" hidden="1">
      <c r="A361" s="140"/>
      <c r="B361" s="165">
        <v>8815</v>
      </c>
      <c r="C361" s="166">
        <v>9050</v>
      </c>
      <c r="H361" s="140"/>
      <c r="J361" s="140"/>
    </row>
    <row r="362" spans="1:10" s="141" customFormat="1" ht="20.25" customHeight="1" hidden="1">
      <c r="A362" s="140"/>
      <c r="B362" s="165">
        <v>9050</v>
      </c>
      <c r="C362" s="166">
        <v>9285</v>
      </c>
      <c r="H362" s="140"/>
      <c r="J362" s="140"/>
    </row>
    <row r="363" spans="1:10" s="141" customFormat="1" ht="20.25" customHeight="1" hidden="1">
      <c r="A363" s="140"/>
      <c r="B363" s="165">
        <v>9285</v>
      </c>
      <c r="C363" s="166">
        <v>9520</v>
      </c>
      <c r="H363" s="140"/>
      <c r="J363" s="140"/>
    </row>
    <row r="364" spans="1:10" s="141" customFormat="1" ht="20.25" customHeight="1" hidden="1">
      <c r="A364" s="140"/>
      <c r="B364" s="165">
        <v>9520</v>
      </c>
      <c r="C364" s="166">
        <v>9775</v>
      </c>
      <c r="H364" s="140"/>
      <c r="J364" s="140"/>
    </row>
    <row r="365" spans="1:10" s="141" customFormat="1" ht="20.25" customHeight="1" hidden="1">
      <c r="A365" s="140"/>
      <c r="B365" s="165">
        <v>9775</v>
      </c>
      <c r="C365" s="166">
        <v>10030</v>
      </c>
      <c r="H365" s="140"/>
      <c r="J365" s="140"/>
    </row>
    <row r="366" spans="1:10" s="141" customFormat="1" ht="20.25" customHeight="1" hidden="1">
      <c r="A366" s="140"/>
      <c r="B366" s="165">
        <v>10030</v>
      </c>
      <c r="C366" s="166">
        <v>10285</v>
      </c>
      <c r="H366" s="140"/>
      <c r="J366" s="140"/>
    </row>
    <row r="367" spans="1:10" s="141" customFormat="1" ht="20.25" customHeight="1" hidden="1">
      <c r="A367" s="140"/>
      <c r="B367" s="165">
        <v>10285</v>
      </c>
      <c r="C367" s="166">
        <v>10565</v>
      </c>
      <c r="H367" s="140"/>
      <c r="J367" s="140"/>
    </row>
    <row r="368" spans="1:10" s="141" customFormat="1" ht="20.25" customHeight="1" hidden="1">
      <c r="A368" s="140"/>
      <c r="B368" s="165">
        <v>10565</v>
      </c>
      <c r="C368" s="166">
        <v>10845</v>
      </c>
      <c r="H368" s="140"/>
      <c r="J368" s="140"/>
    </row>
    <row r="369" spans="1:10" s="141" customFormat="1" ht="20.25" customHeight="1" hidden="1">
      <c r="A369" s="140"/>
      <c r="B369" s="165">
        <v>10845</v>
      </c>
      <c r="C369" s="166">
        <v>11125</v>
      </c>
      <c r="H369" s="140"/>
      <c r="J369" s="140"/>
    </row>
    <row r="370" spans="1:10" s="141" customFormat="1" ht="20.25" customHeight="1" hidden="1">
      <c r="A370" s="140"/>
      <c r="B370" s="165">
        <v>11125</v>
      </c>
      <c r="C370" s="166">
        <v>11440</v>
      </c>
      <c r="H370" s="140"/>
      <c r="J370" s="140"/>
    </row>
    <row r="371" spans="1:10" s="141" customFormat="1" ht="20.25" customHeight="1" hidden="1">
      <c r="A371" s="140"/>
      <c r="B371" s="165">
        <v>11440</v>
      </c>
      <c r="C371" s="166">
        <v>11755</v>
      </c>
      <c r="H371" s="140"/>
      <c r="J371" s="140"/>
    </row>
    <row r="372" spans="1:10" s="141" customFormat="1" ht="20.25" customHeight="1" hidden="1">
      <c r="A372" s="140"/>
      <c r="B372" s="165">
        <v>11755</v>
      </c>
      <c r="C372" s="166">
        <v>12070</v>
      </c>
      <c r="H372" s="140"/>
      <c r="J372" s="140"/>
    </row>
    <row r="373" spans="1:10" s="141" customFormat="1" ht="20.25" customHeight="1" hidden="1">
      <c r="A373" s="140"/>
      <c r="B373" s="165">
        <v>12070</v>
      </c>
      <c r="C373" s="166">
        <v>12385</v>
      </c>
      <c r="H373" s="140"/>
      <c r="J373" s="140"/>
    </row>
    <row r="374" spans="1:10" s="141" customFormat="1" ht="20.25" customHeight="1" hidden="1">
      <c r="A374" s="140"/>
      <c r="B374" s="165">
        <v>12385</v>
      </c>
      <c r="C374" s="166">
        <v>12700</v>
      </c>
      <c r="H374" s="140"/>
      <c r="J374" s="140"/>
    </row>
    <row r="375" spans="1:10" s="141" customFormat="1" ht="20.25" customHeight="1" hidden="1">
      <c r="A375" s="140"/>
      <c r="B375" s="165">
        <v>12700</v>
      </c>
      <c r="C375" s="166">
        <v>13030</v>
      </c>
      <c r="H375" s="140"/>
      <c r="J375" s="140"/>
    </row>
    <row r="376" spans="1:10" s="141" customFormat="1" ht="20.25" customHeight="1" hidden="1">
      <c r="A376" s="140"/>
      <c r="B376" s="165">
        <v>13030</v>
      </c>
      <c r="C376" s="166">
        <v>13390</v>
      </c>
      <c r="H376" s="140"/>
      <c r="J376" s="140"/>
    </row>
    <row r="377" spans="1:10" s="141" customFormat="1" ht="20.25" customHeight="1" hidden="1">
      <c r="A377" s="140"/>
      <c r="B377" s="165">
        <v>13390</v>
      </c>
      <c r="C377" s="166">
        <v>13750</v>
      </c>
      <c r="H377" s="140"/>
      <c r="J377" s="140"/>
    </row>
    <row r="378" spans="1:10" s="141" customFormat="1" ht="20.25" customHeight="1" hidden="1">
      <c r="A378" s="140"/>
      <c r="B378" s="165">
        <v>13750</v>
      </c>
      <c r="C378" s="166">
        <v>14175</v>
      </c>
      <c r="H378" s="140"/>
      <c r="J378" s="140"/>
    </row>
    <row r="379" spans="1:10" s="141" customFormat="1" ht="20.25" customHeight="1" hidden="1">
      <c r="A379" s="140"/>
      <c r="B379" s="165">
        <v>14175</v>
      </c>
      <c r="C379" s="166">
        <v>14600</v>
      </c>
      <c r="H379" s="140"/>
      <c r="J379" s="140"/>
    </row>
    <row r="380" spans="1:10" s="141" customFormat="1" ht="20.25" customHeight="1" hidden="1">
      <c r="A380" s="140"/>
      <c r="B380" s="165">
        <v>14600</v>
      </c>
      <c r="C380" s="166">
        <v>15025</v>
      </c>
      <c r="H380" s="140"/>
      <c r="J380" s="140"/>
    </row>
    <row r="381" spans="1:10" s="141" customFormat="1" ht="20.25" customHeight="1" hidden="1">
      <c r="A381" s="140"/>
      <c r="B381" s="165">
        <v>15025</v>
      </c>
      <c r="C381" s="166">
        <v>15500</v>
      </c>
      <c r="H381" s="140"/>
      <c r="J381" s="140"/>
    </row>
    <row r="382" spans="1:10" s="141" customFormat="1" ht="20.25" customHeight="1" hidden="1">
      <c r="A382" s="140"/>
      <c r="B382" s="165">
        <v>15500</v>
      </c>
      <c r="C382" s="166">
        <v>15975</v>
      </c>
      <c r="H382" s="140"/>
      <c r="J382" s="140"/>
    </row>
    <row r="383" spans="1:10" s="141" customFormat="1" ht="20.25" customHeight="1" hidden="1">
      <c r="A383" s="140"/>
      <c r="B383" s="165">
        <v>15975</v>
      </c>
      <c r="C383" s="166">
        <v>16450</v>
      </c>
      <c r="H383" s="140"/>
      <c r="J383" s="140"/>
    </row>
    <row r="384" spans="1:10" s="141" customFormat="1" ht="20.25" customHeight="1" hidden="1">
      <c r="A384" s="140"/>
      <c r="B384" s="165">
        <v>16450</v>
      </c>
      <c r="C384" s="166">
        <v>16925</v>
      </c>
      <c r="H384" s="140"/>
      <c r="J384" s="140"/>
    </row>
    <row r="385" spans="1:10" s="141" customFormat="1" ht="20.25" customHeight="1" hidden="1">
      <c r="A385" s="140"/>
      <c r="B385" s="165">
        <v>16925</v>
      </c>
      <c r="C385" s="166">
        <v>17475</v>
      </c>
      <c r="H385" s="140"/>
      <c r="J385" s="140"/>
    </row>
    <row r="386" spans="1:10" s="141" customFormat="1" ht="20.25" customHeight="1" hidden="1">
      <c r="A386" s="140"/>
      <c r="B386" s="165">
        <v>17475</v>
      </c>
      <c r="C386" s="166">
        <v>18025</v>
      </c>
      <c r="H386" s="140"/>
      <c r="J386" s="140"/>
    </row>
    <row r="387" spans="1:10" s="141" customFormat="1" ht="20.25" customHeight="1" hidden="1">
      <c r="A387" s="140"/>
      <c r="B387" s="165">
        <v>18025</v>
      </c>
      <c r="C387" s="166">
        <v>18575</v>
      </c>
      <c r="H387" s="140"/>
      <c r="J387" s="140"/>
    </row>
    <row r="388" spans="1:10" s="141" customFormat="1" ht="20.25" customHeight="1" hidden="1">
      <c r="A388" s="140"/>
      <c r="B388" s="165">
        <v>18575</v>
      </c>
      <c r="C388" s="166">
        <v>19125</v>
      </c>
      <c r="H388" s="140"/>
      <c r="J388" s="140"/>
    </row>
    <row r="389" spans="1:10" s="141" customFormat="1" ht="20.25" customHeight="1" hidden="1">
      <c r="A389" s="140"/>
      <c r="B389" s="165">
        <v>19125</v>
      </c>
      <c r="C389" s="166">
        <v>19675</v>
      </c>
      <c r="H389" s="140"/>
      <c r="J389" s="140"/>
    </row>
    <row r="390" spans="1:10" s="141" customFormat="1" ht="20.25" customHeight="1" hidden="1">
      <c r="A390" s="140"/>
      <c r="B390" s="165">
        <v>19675</v>
      </c>
      <c r="C390" s="166">
        <v>20300</v>
      </c>
      <c r="H390" s="140"/>
      <c r="J390" s="140"/>
    </row>
    <row r="391" spans="1:10" s="141" customFormat="1" ht="20.25" customHeight="1" hidden="1">
      <c r="A391" s="140"/>
      <c r="B391" s="165">
        <v>20300</v>
      </c>
      <c r="C391" s="166">
        <v>20925</v>
      </c>
      <c r="H391" s="140"/>
      <c r="J391" s="140"/>
    </row>
    <row r="392" spans="1:10" s="141" customFormat="1" ht="20.25" customHeight="1" hidden="1">
      <c r="A392" s="140"/>
      <c r="B392" s="165">
        <v>20925</v>
      </c>
      <c r="C392" s="166">
        <v>21550</v>
      </c>
      <c r="H392" s="140"/>
      <c r="J392" s="140"/>
    </row>
    <row r="393" spans="1:10" s="141" customFormat="1" ht="20.25" customHeight="1" hidden="1">
      <c r="A393" s="140"/>
      <c r="B393" s="165">
        <v>21550</v>
      </c>
      <c r="C393" s="166">
        <v>22175</v>
      </c>
      <c r="H393" s="140"/>
      <c r="J393" s="140"/>
    </row>
    <row r="394" spans="1:10" s="141" customFormat="1" ht="20.25" customHeight="1" hidden="1">
      <c r="A394" s="140"/>
      <c r="B394" s="165">
        <v>22175</v>
      </c>
      <c r="C394" s="166">
        <v>22800</v>
      </c>
      <c r="H394" s="140"/>
      <c r="J394" s="140"/>
    </row>
    <row r="395" spans="1:10" s="141" customFormat="1" ht="20.25" customHeight="1" hidden="1">
      <c r="A395" s="140"/>
      <c r="B395" s="165">
        <v>22800</v>
      </c>
      <c r="C395" s="166">
        <v>23500</v>
      </c>
      <c r="H395" s="140"/>
      <c r="J395" s="140"/>
    </row>
    <row r="396" spans="1:10" s="141" customFormat="1" ht="20.25" customHeight="1" hidden="1">
      <c r="A396" s="140"/>
      <c r="B396" s="165">
        <v>23500</v>
      </c>
      <c r="C396" s="166">
        <v>24200</v>
      </c>
      <c r="H396" s="140"/>
      <c r="J396" s="140"/>
    </row>
    <row r="397" spans="1:10" s="141" customFormat="1" ht="20.25" customHeight="1" hidden="1">
      <c r="A397" s="140"/>
      <c r="B397" s="165">
        <v>24200</v>
      </c>
      <c r="C397" s="166">
        <v>24900</v>
      </c>
      <c r="H397" s="140"/>
      <c r="J397" s="140"/>
    </row>
    <row r="398" spans="1:10" s="141" customFormat="1" ht="20.25" customHeight="1" hidden="1">
      <c r="A398" s="140"/>
      <c r="B398" s="165">
        <v>24900</v>
      </c>
      <c r="C398" s="166">
        <v>25600</v>
      </c>
      <c r="H398" s="140"/>
      <c r="J398" s="140"/>
    </row>
    <row r="399" spans="1:10" s="141" customFormat="1" ht="20.25" customHeight="1" hidden="1">
      <c r="A399" s="140"/>
      <c r="B399" s="165">
        <v>25600</v>
      </c>
      <c r="C399" s="166">
        <v>26300</v>
      </c>
      <c r="H399" s="140"/>
      <c r="J399" s="140"/>
    </row>
    <row r="400" spans="1:10" s="141" customFormat="1" ht="20.25" customHeight="1" hidden="1">
      <c r="A400" s="140"/>
      <c r="B400" s="165">
        <v>26300</v>
      </c>
      <c r="C400" s="166">
        <v>27000</v>
      </c>
      <c r="H400" s="140"/>
      <c r="J400" s="140"/>
    </row>
    <row r="401" spans="1:10" s="141" customFormat="1" ht="20.25" customHeight="1" hidden="1">
      <c r="A401" s="140"/>
      <c r="B401" s="165">
        <v>27000</v>
      </c>
      <c r="C401" s="165">
        <v>27750</v>
      </c>
      <c r="H401" s="140"/>
      <c r="J401" s="140"/>
    </row>
    <row r="402" spans="1:10" s="141" customFormat="1" ht="20.25" customHeight="1" hidden="1">
      <c r="A402" s="140"/>
      <c r="B402" s="165">
        <v>27750</v>
      </c>
      <c r="C402" s="167">
        <v>28500</v>
      </c>
      <c r="H402" s="140"/>
      <c r="J402" s="140"/>
    </row>
    <row r="403" spans="1:10" s="141" customFormat="1" ht="20.25" customHeight="1" hidden="1">
      <c r="A403" s="140"/>
      <c r="B403" s="167">
        <v>28500</v>
      </c>
      <c r="C403" s="167">
        <v>29250</v>
      </c>
      <c r="H403" s="140"/>
      <c r="J403" s="140"/>
    </row>
    <row r="404" spans="1:10" s="141" customFormat="1" ht="20.25" customHeight="1" hidden="1">
      <c r="A404" s="140"/>
      <c r="B404" s="167">
        <v>29250</v>
      </c>
      <c r="C404" s="168">
        <v>30000</v>
      </c>
      <c r="H404" s="140"/>
      <c r="J404" s="140"/>
    </row>
    <row r="405" spans="1:10" s="141" customFormat="1" ht="20.25" customHeight="1" hidden="1">
      <c r="A405" s="140"/>
      <c r="B405" s="168">
        <v>30000</v>
      </c>
      <c r="C405" s="168">
        <v>30765</v>
      </c>
      <c r="H405" s="140"/>
      <c r="J405" s="140"/>
    </row>
    <row r="406" spans="1:10" s="141" customFormat="1" ht="20.25" customHeight="1" hidden="1">
      <c r="A406" s="140"/>
      <c r="B406" s="168">
        <v>30765</v>
      </c>
      <c r="C406" s="169"/>
      <c r="H406" s="140"/>
      <c r="J406" s="140"/>
    </row>
    <row r="407" spans="1:10" s="141" customFormat="1" ht="20.25" customHeight="1" hidden="1">
      <c r="A407" s="140"/>
      <c r="H407" s="140"/>
      <c r="J407" s="140"/>
    </row>
    <row r="408" spans="1:10" s="141" customFormat="1" ht="20.25" customHeight="1" hidden="1">
      <c r="A408" s="140"/>
      <c r="H408" s="140"/>
      <c r="J408" s="140"/>
    </row>
    <row r="409" spans="1:10" s="141" customFormat="1" ht="20.25" customHeight="1" hidden="1">
      <c r="A409" s="140"/>
      <c r="H409" s="140"/>
      <c r="J409" s="140"/>
    </row>
    <row r="410" spans="1:10" s="141" customFormat="1" ht="20.25" customHeight="1" hidden="1">
      <c r="A410" s="140"/>
      <c r="H410" s="140"/>
      <c r="J410" s="140"/>
    </row>
    <row r="411" spans="1:10" s="141" customFormat="1" ht="20.25" customHeight="1" hidden="1">
      <c r="A411" s="140"/>
      <c r="B411" s="170">
        <v>10900</v>
      </c>
      <c r="C411" s="170">
        <v>11200</v>
      </c>
      <c r="H411" s="140"/>
      <c r="J411" s="140"/>
    </row>
    <row r="412" spans="1:10" s="141" customFormat="1" ht="20.25" customHeight="1" hidden="1">
      <c r="A412" s="140"/>
      <c r="B412" s="170">
        <v>11200</v>
      </c>
      <c r="C412" s="170">
        <v>11530</v>
      </c>
      <c r="H412" s="140"/>
      <c r="J412" s="140"/>
    </row>
    <row r="413" spans="1:10" s="141" customFormat="1" ht="20.25" customHeight="1" hidden="1">
      <c r="A413" s="140"/>
      <c r="B413" s="170">
        <v>11530</v>
      </c>
      <c r="C413" s="170">
        <v>11860</v>
      </c>
      <c r="H413" s="140"/>
      <c r="J413" s="140"/>
    </row>
    <row r="414" spans="1:10" s="141" customFormat="1" ht="20.25" customHeight="1" hidden="1">
      <c r="A414" s="140"/>
      <c r="B414" s="170">
        <v>11860</v>
      </c>
      <c r="C414" s="170">
        <v>12190</v>
      </c>
      <c r="H414" s="140"/>
      <c r="J414" s="140"/>
    </row>
    <row r="415" spans="1:10" s="141" customFormat="1" ht="20.25" customHeight="1" hidden="1">
      <c r="A415" s="140"/>
      <c r="B415" s="170">
        <v>12190</v>
      </c>
      <c r="C415" s="170">
        <v>12550</v>
      </c>
      <c r="H415" s="140"/>
      <c r="J415" s="140"/>
    </row>
    <row r="416" spans="1:10" s="141" customFormat="1" ht="20.25" customHeight="1" hidden="1">
      <c r="A416" s="140"/>
      <c r="B416" s="170">
        <v>12550</v>
      </c>
      <c r="C416" s="170">
        <v>12910</v>
      </c>
      <c r="H416" s="140"/>
      <c r="J416" s="140"/>
    </row>
    <row r="417" spans="1:10" s="141" customFormat="1" ht="20.25" customHeight="1" hidden="1">
      <c r="A417" s="140"/>
      <c r="B417" s="170">
        <v>12910</v>
      </c>
      <c r="C417" s="170">
        <v>13270</v>
      </c>
      <c r="H417" s="140"/>
      <c r="J417" s="140"/>
    </row>
    <row r="418" spans="1:10" s="141" customFormat="1" ht="20.25" customHeight="1" hidden="1">
      <c r="A418" s="140"/>
      <c r="B418" s="170">
        <v>13270</v>
      </c>
      <c r="C418" s="170">
        <v>13660</v>
      </c>
      <c r="H418" s="140"/>
      <c r="J418" s="140"/>
    </row>
    <row r="419" spans="1:10" s="141" customFormat="1" ht="20.25" customHeight="1" hidden="1">
      <c r="A419" s="140"/>
      <c r="B419" s="170">
        <v>13660</v>
      </c>
      <c r="C419" s="170">
        <v>14050</v>
      </c>
      <c r="H419" s="140"/>
      <c r="J419" s="140"/>
    </row>
    <row r="420" spans="1:10" s="141" customFormat="1" ht="20.25" customHeight="1" hidden="1">
      <c r="A420" s="140"/>
      <c r="B420" s="170">
        <v>14050</v>
      </c>
      <c r="C420" s="170">
        <v>14440</v>
      </c>
      <c r="H420" s="140"/>
      <c r="J420" s="140"/>
    </row>
    <row r="421" spans="1:10" s="141" customFormat="1" ht="20.25" customHeight="1" hidden="1">
      <c r="A421" s="140"/>
      <c r="B421" s="170">
        <v>14440</v>
      </c>
      <c r="C421" s="170">
        <v>14860</v>
      </c>
      <c r="H421" s="140"/>
      <c r="J421" s="140"/>
    </row>
    <row r="422" spans="1:10" s="141" customFormat="1" ht="20.25" customHeight="1" hidden="1">
      <c r="A422" s="140"/>
      <c r="B422" s="170">
        <v>14860</v>
      </c>
      <c r="C422" s="170">
        <v>15280</v>
      </c>
      <c r="H422" s="140"/>
      <c r="J422" s="140"/>
    </row>
    <row r="423" spans="1:10" s="141" customFormat="1" ht="20.25" customHeight="1" hidden="1">
      <c r="A423" s="140"/>
      <c r="B423" s="170">
        <v>15280</v>
      </c>
      <c r="C423" s="170">
        <v>15700</v>
      </c>
      <c r="H423" s="140"/>
      <c r="J423" s="140"/>
    </row>
    <row r="424" spans="1:10" s="141" customFormat="1" ht="20.25" customHeight="1" hidden="1">
      <c r="A424" s="140"/>
      <c r="B424" s="170">
        <v>15700</v>
      </c>
      <c r="C424" s="170">
        <v>16150</v>
      </c>
      <c r="H424" s="140"/>
      <c r="J424" s="140"/>
    </row>
    <row r="425" spans="1:10" s="141" customFormat="1" ht="20.25" customHeight="1" hidden="1">
      <c r="A425" s="140"/>
      <c r="B425" s="170">
        <v>16150</v>
      </c>
      <c r="C425" s="170">
        <v>16600</v>
      </c>
      <c r="H425" s="140"/>
      <c r="J425" s="140"/>
    </row>
    <row r="426" spans="1:10" s="141" customFormat="1" ht="20.25" customHeight="1" hidden="1">
      <c r="A426" s="140"/>
      <c r="B426" s="170">
        <v>16600</v>
      </c>
      <c r="C426" s="170">
        <v>17050</v>
      </c>
      <c r="H426" s="140"/>
      <c r="J426" s="140"/>
    </row>
    <row r="427" spans="1:10" s="141" customFormat="1" ht="20.25" customHeight="1" hidden="1">
      <c r="A427" s="140"/>
      <c r="B427" s="170">
        <v>17050</v>
      </c>
      <c r="C427" s="170">
        <v>17540</v>
      </c>
      <c r="H427" s="140"/>
      <c r="J427" s="140"/>
    </row>
    <row r="428" spans="1:10" s="141" customFormat="1" ht="20.25" customHeight="1" hidden="1">
      <c r="A428" s="140"/>
      <c r="B428" s="170">
        <v>17540</v>
      </c>
      <c r="C428" s="170">
        <v>18030</v>
      </c>
      <c r="H428" s="140"/>
      <c r="J428" s="140"/>
    </row>
    <row r="429" spans="1:10" s="141" customFormat="1" ht="20.25" customHeight="1" hidden="1">
      <c r="A429" s="140"/>
      <c r="B429" s="170">
        <v>18030</v>
      </c>
      <c r="C429" s="170">
        <v>18520</v>
      </c>
      <c r="H429" s="140"/>
      <c r="J429" s="140"/>
    </row>
    <row r="430" spans="1:10" s="141" customFormat="1" ht="20.25" customHeight="1" hidden="1">
      <c r="A430" s="140"/>
      <c r="B430" s="170">
        <v>18520</v>
      </c>
      <c r="C430" s="170">
        <v>19050</v>
      </c>
      <c r="H430" s="140"/>
      <c r="J430" s="140"/>
    </row>
    <row r="431" spans="1:10" s="141" customFormat="1" ht="20.25" customHeight="1" hidden="1">
      <c r="A431" s="140"/>
      <c r="B431" s="170">
        <v>19050</v>
      </c>
      <c r="C431" s="170">
        <v>19580</v>
      </c>
      <c r="H431" s="140"/>
      <c r="J431" s="140"/>
    </row>
    <row r="432" spans="1:10" s="141" customFormat="1" ht="20.25" customHeight="1" hidden="1">
      <c r="A432" s="140"/>
      <c r="B432" s="170">
        <v>19580</v>
      </c>
      <c r="C432" s="170">
        <v>20110</v>
      </c>
      <c r="H432" s="140"/>
      <c r="J432" s="140"/>
    </row>
    <row r="433" spans="1:10" s="141" customFormat="1" ht="20.25" customHeight="1" hidden="1">
      <c r="A433" s="140"/>
      <c r="B433" s="170">
        <v>20110</v>
      </c>
      <c r="C433" s="170">
        <v>20680</v>
      </c>
      <c r="H433" s="140"/>
      <c r="J433" s="140"/>
    </row>
    <row r="434" spans="1:10" s="141" customFormat="1" ht="20.25" customHeight="1" hidden="1">
      <c r="A434" s="140"/>
      <c r="B434" s="170">
        <v>20680</v>
      </c>
      <c r="C434" s="170">
        <v>21250</v>
      </c>
      <c r="H434" s="140"/>
      <c r="J434" s="140"/>
    </row>
    <row r="435" spans="1:10" s="141" customFormat="1" ht="20.25" customHeight="1" hidden="1">
      <c r="A435" s="140"/>
      <c r="B435" s="170">
        <v>21250</v>
      </c>
      <c r="C435" s="170">
        <v>21820</v>
      </c>
      <c r="H435" s="140"/>
      <c r="J435" s="140"/>
    </row>
    <row r="436" spans="1:10" s="141" customFormat="1" ht="20.25" customHeight="1" hidden="1">
      <c r="A436" s="140"/>
      <c r="B436" s="170">
        <v>21820</v>
      </c>
      <c r="C436" s="170">
        <v>22430</v>
      </c>
      <c r="H436" s="140"/>
      <c r="J436" s="140"/>
    </row>
    <row r="437" spans="1:10" s="141" customFormat="1" ht="20.25" customHeight="1" hidden="1">
      <c r="A437" s="140"/>
      <c r="B437" s="170">
        <v>22430</v>
      </c>
      <c r="C437" s="170">
        <v>23040</v>
      </c>
      <c r="H437" s="140"/>
      <c r="J437" s="140"/>
    </row>
    <row r="438" spans="1:10" s="141" customFormat="1" ht="20.25" customHeight="1" hidden="1">
      <c r="A438" s="140"/>
      <c r="B438" s="170">
        <v>23040</v>
      </c>
      <c r="C438" s="170">
        <v>23650</v>
      </c>
      <c r="H438" s="140"/>
      <c r="J438" s="140"/>
    </row>
    <row r="439" spans="1:10" s="141" customFormat="1" ht="20.25" customHeight="1" hidden="1">
      <c r="A439" s="140"/>
      <c r="B439" s="170">
        <v>23650</v>
      </c>
      <c r="C439" s="170">
        <v>24300</v>
      </c>
      <c r="H439" s="140"/>
      <c r="J439" s="140"/>
    </row>
    <row r="440" spans="1:10" s="141" customFormat="1" ht="20.25" customHeight="1" hidden="1">
      <c r="A440" s="140"/>
      <c r="B440" s="170">
        <v>24300</v>
      </c>
      <c r="C440" s="170">
        <v>24950</v>
      </c>
      <c r="H440" s="140"/>
      <c r="J440" s="140"/>
    </row>
    <row r="441" spans="1:10" s="141" customFormat="1" ht="20.25" customHeight="1" hidden="1">
      <c r="A441" s="140"/>
      <c r="B441" s="170">
        <v>24950</v>
      </c>
      <c r="C441" s="170">
        <v>25600</v>
      </c>
      <c r="H441" s="140"/>
      <c r="J441" s="140"/>
    </row>
    <row r="442" spans="1:10" s="141" customFormat="1" ht="20.25" customHeight="1" hidden="1">
      <c r="A442" s="140"/>
      <c r="B442" s="170">
        <v>25600</v>
      </c>
      <c r="C442" s="170">
        <v>26300</v>
      </c>
      <c r="H442" s="140"/>
      <c r="J442" s="140"/>
    </row>
    <row r="443" spans="1:10" s="141" customFormat="1" ht="20.25" customHeight="1" hidden="1">
      <c r="A443" s="140"/>
      <c r="B443" s="170">
        <v>26300</v>
      </c>
      <c r="C443" s="170">
        <v>27000</v>
      </c>
      <c r="H443" s="140"/>
      <c r="J443" s="140"/>
    </row>
    <row r="444" spans="1:10" s="141" customFormat="1" ht="20.25" customHeight="1" hidden="1">
      <c r="A444" s="140"/>
      <c r="B444" s="170">
        <v>27000</v>
      </c>
      <c r="C444" s="170">
        <v>27700</v>
      </c>
      <c r="H444" s="140"/>
      <c r="J444" s="140"/>
    </row>
    <row r="445" spans="1:10" s="141" customFormat="1" ht="20.25" customHeight="1" hidden="1">
      <c r="A445" s="140"/>
      <c r="B445" s="170">
        <v>27700</v>
      </c>
      <c r="C445" s="170">
        <v>28450</v>
      </c>
      <c r="H445" s="140"/>
      <c r="J445" s="140"/>
    </row>
    <row r="446" spans="1:10" s="141" customFormat="1" ht="20.25" customHeight="1" hidden="1">
      <c r="A446" s="140"/>
      <c r="B446" s="170">
        <v>28450</v>
      </c>
      <c r="C446" s="170">
        <v>29200</v>
      </c>
      <c r="H446" s="140"/>
      <c r="J446" s="140"/>
    </row>
    <row r="447" spans="1:10" s="141" customFormat="1" ht="20.25" customHeight="1" hidden="1">
      <c r="A447" s="140"/>
      <c r="B447" s="170">
        <v>29200</v>
      </c>
      <c r="C447" s="170">
        <v>29950</v>
      </c>
      <c r="H447" s="140"/>
      <c r="J447" s="140"/>
    </row>
    <row r="448" spans="1:10" s="141" customFormat="1" ht="20.25" customHeight="1" hidden="1">
      <c r="A448" s="140"/>
      <c r="B448" s="170">
        <v>29950</v>
      </c>
      <c r="C448" s="170">
        <v>30750</v>
      </c>
      <c r="H448" s="140"/>
      <c r="J448" s="140"/>
    </row>
    <row r="449" spans="1:10" s="141" customFormat="1" ht="20.25" customHeight="1" hidden="1">
      <c r="A449" s="140"/>
      <c r="B449" s="170">
        <v>30750</v>
      </c>
      <c r="C449" s="170">
        <v>31550</v>
      </c>
      <c r="H449" s="140"/>
      <c r="J449" s="140"/>
    </row>
    <row r="450" spans="1:10" s="141" customFormat="1" ht="20.25" customHeight="1" hidden="1">
      <c r="A450" s="140"/>
      <c r="B450" s="170">
        <v>31550</v>
      </c>
      <c r="C450" s="170">
        <v>32350</v>
      </c>
      <c r="H450" s="140"/>
      <c r="J450" s="140"/>
    </row>
    <row r="451" spans="1:10" s="141" customFormat="1" ht="20.25" customHeight="1" hidden="1">
      <c r="A451" s="140"/>
      <c r="B451" s="170">
        <v>32350</v>
      </c>
      <c r="C451" s="170">
        <v>33200</v>
      </c>
      <c r="H451" s="140"/>
      <c r="J451" s="140"/>
    </row>
    <row r="452" spans="1:10" s="141" customFormat="1" ht="20.25" customHeight="1" hidden="1">
      <c r="A452" s="140"/>
      <c r="B452" s="170">
        <v>33200</v>
      </c>
      <c r="C452" s="170">
        <v>34050</v>
      </c>
      <c r="H452" s="140"/>
      <c r="J452" s="140"/>
    </row>
    <row r="453" spans="1:10" s="141" customFormat="1" ht="20.25" customHeight="1" hidden="1">
      <c r="A453" s="140"/>
      <c r="B453" s="170">
        <v>34050</v>
      </c>
      <c r="C453" s="170">
        <v>34900</v>
      </c>
      <c r="H453" s="140"/>
      <c r="J453" s="140"/>
    </row>
    <row r="454" spans="1:10" s="141" customFormat="1" ht="20.25" customHeight="1" hidden="1">
      <c r="A454" s="140"/>
      <c r="B454" s="170">
        <v>34900</v>
      </c>
      <c r="C454" s="170">
        <v>35800</v>
      </c>
      <c r="H454" s="140"/>
      <c r="J454" s="140"/>
    </row>
    <row r="455" spans="1:10" s="141" customFormat="1" ht="20.25" customHeight="1" hidden="1">
      <c r="A455" s="140"/>
      <c r="B455" s="170">
        <v>35800</v>
      </c>
      <c r="C455" s="170">
        <v>36700</v>
      </c>
      <c r="H455" s="140"/>
      <c r="J455" s="140"/>
    </row>
    <row r="456" spans="1:10" s="141" customFormat="1" ht="20.25" customHeight="1" hidden="1">
      <c r="A456" s="140"/>
      <c r="B456" s="170">
        <v>36700</v>
      </c>
      <c r="C456" s="170">
        <v>37600</v>
      </c>
      <c r="H456" s="140"/>
      <c r="J456" s="140"/>
    </row>
    <row r="457" spans="1:10" s="141" customFormat="1" ht="20.25" customHeight="1" hidden="1">
      <c r="A457" s="140"/>
      <c r="B457" s="170">
        <v>37600</v>
      </c>
      <c r="C457" s="170">
        <v>38570</v>
      </c>
      <c r="H457" s="140"/>
      <c r="J457" s="140"/>
    </row>
    <row r="458" spans="1:10" s="141" customFormat="1" ht="20.25" customHeight="1" hidden="1">
      <c r="A458" s="140"/>
      <c r="B458" s="170">
        <v>38570</v>
      </c>
      <c r="C458" s="170">
        <v>39540</v>
      </c>
      <c r="H458" s="140"/>
      <c r="J458" s="140"/>
    </row>
    <row r="459" spans="1:10" s="141" customFormat="1" ht="20.25" customHeight="1" hidden="1">
      <c r="A459" s="140"/>
      <c r="B459" s="170">
        <v>39540</v>
      </c>
      <c r="C459" s="170">
        <v>40510</v>
      </c>
      <c r="H459" s="140"/>
      <c r="J459" s="140"/>
    </row>
    <row r="460" spans="1:10" s="141" customFormat="1" ht="20.25" customHeight="1" hidden="1">
      <c r="A460" s="140"/>
      <c r="B460" s="170">
        <v>40510</v>
      </c>
      <c r="C460" s="170">
        <v>41550</v>
      </c>
      <c r="H460" s="140"/>
      <c r="J460" s="140"/>
    </row>
    <row r="461" spans="1:10" s="141" customFormat="1" ht="20.25" customHeight="1" hidden="1">
      <c r="A461" s="140"/>
      <c r="B461" s="170">
        <v>41550</v>
      </c>
      <c r="C461" s="170">
        <v>42590</v>
      </c>
      <c r="H461" s="140"/>
      <c r="J461" s="140"/>
    </row>
    <row r="462" spans="1:10" s="141" customFormat="1" ht="20.25" customHeight="1" hidden="1">
      <c r="A462" s="140"/>
      <c r="B462" s="170">
        <v>42590</v>
      </c>
      <c r="C462" s="170">
        <v>43630</v>
      </c>
      <c r="H462" s="140"/>
      <c r="J462" s="140"/>
    </row>
    <row r="463" spans="1:10" s="141" customFormat="1" ht="20.25" customHeight="1" hidden="1">
      <c r="A463" s="140"/>
      <c r="B463" s="170">
        <v>43630</v>
      </c>
      <c r="C463" s="170">
        <v>44740</v>
      </c>
      <c r="H463" s="140"/>
      <c r="J463" s="140"/>
    </row>
    <row r="464" spans="1:10" s="141" customFormat="1" ht="20.25" customHeight="1" hidden="1">
      <c r="A464" s="140"/>
      <c r="B464" s="170">
        <v>44740</v>
      </c>
      <c r="C464" s="170">
        <v>45850</v>
      </c>
      <c r="H464" s="140"/>
      <c r="J464" s="140"/>
    </row>
    <row r="465" spans="1:10" s="141" customFormat="1" ht="20.25" customHeight="1" hidden="1">
      <c r="A465" s="140"/>
      <c r="B465" s="170">
        <v>45850</v>
      </c>
      <c r="C465" s="170">
        <v>46960</v>
      </c>
      <c r="H465" s="140"/>
      <c r="J465" s="140"/>
    </row>
    <row r="466" spans="1:10" s="141" customFormat="1" ht="20.25" customHeight="1" hidden="1">
      <c r="A466" s="140"/>
      <c r="B466" s="170">
        <v>46960</v>
      </c>
      <c r="C466" s="170">
        <v>48160</v>
      </c>
      <c r="H466" s="140"/>
      <c r="J466" s="140"/>
    </row>
    <row r="467" spans="1:10" s="141" customFormat="1" ht="20.25" customHeight="1" hidden="1">
      <c r="A467" s="140"/>
      <c r="B467" s="170">
        <v>48160</v>
      </c>
      <c r="C467" s="170">
        <v>49360</v>
      </c>
      <c r="H467" s="140"/>
      <c r="J467" s="140"/>
    </row>
    <row r="468" spans="1:10" s="141" customFormat="1" ht="20.25" customHeight="1" hidden="1">
      <c r="A468" s="140"/>
      <c r="B468" s="170">
        <v>49360</v>
      </c>
      <c r="C468" s="170">
        <v>50560</v>
      </c>
      <c r="H468" s="140"/>
      <c r="J468" s="140"/>
    </row>
    <row r="469" spans="1:10" s="141" customFormat="1" ht="20.25" customHeight="1" hidden="1">
      <c r="A469" s="140"/>
      <c r="B469" s="170">
        <v>50560</v>
      </c>
      <c r="C469" s="170">
        <v>51760</v>
      </c>
      <c r="H469" s="140"/>
      <c r="J469" s="140"/>
    </row>
    <row r="470" spans="1:10" s="141" customFormat="1" ht="20.25" customHeight="1" hidden="1">
      <c r="A470" s="140"/>
      <c r="B470" s="170">
        <v>51760</v>
      </c>
      <c r="C470" s="170">
        <v>53060</v>
      </c>
      <c r="H470" s="140"/>
      <c r="J470" s="140"/>
    </row>
    <row r="471" spans="1:10" s="141" customFormat="1" ht="20.25" customHeight="1" hidden="1">
      <c r="A471" s="140"/>
      <c r="B471" s="170">
        <v>53060</v>
      </c>
      <c r="C471" s="170">
        <v>54360</v>
      </c>
      <c r="H471" s="140"/>
      <c r="J471" s="140"/>
    </row>
    <row r="472" spans="1:10" s="141" customFormat="1" ht="20.25" customHeight="1" hidden="1">
      <c r="A472" s="140"/>
      <c r="B472" s="170">
        <v>54360</v>
      </c>
      <c r="C472" s="170">
        <v>55660</v>
      </c>
      <c r="H472" s="140"/>
      <c r="J472" s="140"/>
    </row>
    <row r="473" spans="1:10" s="141" customFormat="1" ht="20.25" customHeight="1" hidden="1">
      <c r="A473" s="140"/>
      <c r="B473" s="170">
        <v>55660</v>
      </c>
      <c r="C473" s="170">
        <v>56960</v>
      </c>
      <c r="H473" s="140"/>
      <c r="J473" s="140"/>
    </row>
    <row r="474" spans="1:10" s="141" customFormat="1" ht="20.25" customHeight="1" hidden="1">
      <c r="A474" s="140"/>
      <c r="B474" s="170">
        <v>56960</v>
      </c>
      <c r="C474" s="170">
        <v>58260</v>
      </c>
      <c r="H474" s="140"/>
      <c r="J474" s="140"/>
    </row>
    <row r="475" spans="1:10" s="141" customFormat="1" ht="20.25" customHeight="1" hidden="1">
      <c r="A475" s="140"/>
      <c r="B475" s="170">
        <v>58260</v>
      </c>
      <c r="C475" s="170">
        <v>59560</v>
      </c>
      <c r="H475" s="140"/>
      <c r="J475" s="140"/>
    </row>
    <row r="476" spans="1:10" s="141" customFormat="1" ht="20.25" customHeight="1" hidden="1">
      <c r="A476" s="140"/>
      <c r="B476" s="170">
        <v>59560</v>
      </c>
      <c r="C476" s="170">
        <v>60860</v>
      </c>
      <c r="H476" s="140"/>
      <c r="J476" s="140"/>
    </row>
    <row r="477" spans="1:10" s="141" customFormat="1" ht="20.25" customHeight="1" hidden="1">
      <c r="A477" s="140"/>
      <c r="H477" s="140"/>
      <c r="J477" s="140"/>
    </row>
    <row r="478" spans="1:10" s="141" customFormat="1" ht="20.25" customHeight="1" hidden="1">
      <c r="A478" s="140"/>
      <c r="H478" s="140"/>
      <c r="J478" s="140"/>
    </row>
    <row r="479" spans="1:10" s="141" customFormat="1" ht="20.25" customHeight="1" hidden="1">
      <c r="A479" s="140"/>
      <c r="H479" s="140"/>
      <c r="J479" s="140"/>
    </row>
    <row r="480" spans="1:10" s="141" customFormat="1" ht="20.25" customHeight="1" hidden="1">
      <c r="A480" s="140"/>
      <c r="B480" s="141" t="str">
        <f>CONCATENATE("M.P ",D6)</f>
        <v>M.P Domakonda</v>
      </c>
      <c r="H480" s="140"/>
      <c r="J480" s="140"/>
    </row>
    <row r="481" spans="1:10" s="141" customFormat="1" ht="20.25" customHeight="1" hidden="1">
      <c r="A481" s="140"/>
      <c r="B481" s="141" t="str">
        <f>IF(AND(B162=1),B480,IF(AND(B162=6),F19,D5))</f>
        <v>M.P Domakonda</v>
      </c>
      <c r="H481" s="140"/>
      <c r="J481" s="140"/>
    </row>
    <row r="482" spans="1:10" s="141" customFormat="1" ht="20.25" customHeight="1" hidden="1">
      <c r="A482" s="140"/>
      <c r="B482" s="141" t="str">
        <f>CONCATENATE("Proceedings of the ",B161,", ",B481)</f>
        <v>Proceedings of the Mandal Eduacational Officer, M.P Domakonda</v>
      </c>
      <c r="H482" s="140"/>
      <c r="J482" s="140"/>
    </row>
    <row r="483" spans="1:10" s="141" customFormat="1" ht="20.25" customHeight="1" hidden="1">
      <c r="A483" s="140"/>
      <c r="B483" s="141" t="str">
        <f>CONCATENATE("Present: ",E20)</f>
        <v>Present: Sri. G.Ambaiah, B.Sc, B.Ed.</v>
      </c>
      <c r="H483" s="140"/>
      <c r="J483" s="140"/>
    </row>
    <row r="484" spans="1:10" s="141" customFormat="1" ht="20.25" customHeight="1" hidden="1">
      <c r="A484" s="140"/>
      <c r="H484" s="140"/>
      <c r="J484" s="140"/>
    </row>
    <row r="485" spans="1:10" s="141" customFormat="1" ht="20.25" customHeight="1" hidden="1">
      <c r="A485" s="140"/>
      <c r="H485" s="140"/>
      <c r="J485" s="140"/>
    </row>
    <row r="486" spans="1:10" s="141" customFormat="1" ht="20.25" customHeight="1" hidden="1">
      <c r="A486" s="140"/>
      <c r="B486" s="141" t="str">
        <f>CONCATENATE("School Education - ",D3,", ",F4,", ",D5,", Preponement of Increment Date on par with junior's Increment Date - Orders - Issued.")</f>
        <v>School Education - Sri. P.Srinivas Reddy, SGT , UPS Sitharampoor, Preponement of Increment Date on par with junior's Increment Date - Orders - Issued.</v>
      </c>
      <c r="H486" s="140"/>
      <c r="J486" s="140"/>
    </row>
    <row r="487" spans="1:10" s="141" customFormat="1" ht="20.25" customHeight="1" hidden="1">
      <c r="A487" s="140"/>
      <c r="H487" s="140"/>
      <c r="J487" s="140"/>
    </row>
    <row r="488" spans="1:10" s="141" customFormat="1" ht="20.25" customHeight="1" hidden="1">
      <c r="A488" s="140"/>
      <c r="B488" s="233" t="str">
        <f>CONCATENATE("             Hence the incumbent ",D3,", ",F4,", ",D5," Increment date has preponed on par with junior ",F3,", ",F4,", ",F5," increment date i.e ",G239," vide reference 2nd cited above, pay fixed time to time accordingly as shown below.")</f>
        <v>             Hence the incumbent Sri. P.Srinivas Reddy, SGT , UPS Sitharampoor Increment date has preponed on par with junior Sri. Putta.Srinivas Reddy, SGT , UPS Sithrampoor increment date i.e 1.10.2008 vide reference 2nd cited above, pay fixed time to time accordingly as shown below.</v>
      </c>
      <c r="C488" s="233"/>
      <c r="D488" s="233"/>
      <c r="E488" s="233"/>
      <c r="F488" s="233"/>
      <c r="G488" s="233"/>
      <c r="H488" s="140"/>
      <c r="J488" s="140"/>
    </row>
    <row r="489" spans="1:10" s="141" customFormat="1" ht="20.25" customHeight="1" hidden="1">
      <c r="A489" s="140"/>
      <c r="B489" s="233"/>
      <c r="C489" s="233"/>
      <c r="D489" s="233"/>
      <c r="E489" s="233"/>
      <c r="F489" s="233"/>
      <c r="G489" s="233"/>
      <c r="H489" s="140"/>
      <c r="J489" s="140"/>
    </row>
    <row r="490" spans="1:10" s="141" customFormat="1" ht="20.25" customHeight="1" hidden="1">
      <c r="A490" s="140"/>
      <c r="B490" s="233"/>
      <c r="C490" s="233"/>
      <c r="D490" s="233"/>
      <c r="E490" s="233"/>
      <c r="F490" s="233"/>
      <c r="G490" s="233"/>
      <c r="H490" s="140"/>
      <c r="J490" s="140"/>
    </row>
    <row r="491" spans="1:10" s="141" customFormat="1" ht="20.25" customHeight="1" hidden="1">
      <c r="A491" s="140"/>
      <c r="H491" s="140"/>
      <c r="J491" s="140"/>
    </row>
    <row r="492" spans="4:21" s="171" customFormat="1" ht="20.25" customHeight="1" hidden="1">
      <c r="D492" s="141"/>
      <c r="E492" s="141"/>
      <c r="F492" s="141"/>
      <c r="G492" s="141"/>
      <c r="H492" s="140"/>
      <c r="I492" s="141"/>
      <c r="J492" s="140"/>
      <c r="L492" s="172">
        <v>1</v>
      </c>
      <c r="M492" s="173" t="s">
        <v>140</v>
      </c>
      <c r="N492" s="174">
        <f>I242</f>
        <v>4</v>
      </c>
      <c r="O492" s="175">
        <v>2</v>
      </c>
      <c r="P492" s="175" t="s">
        <v>140</v>
      </c>
      <c r="Q492" s="176">
        <f>I243</f>
        <v>16</v>
      </c>
      <c r="R492" s="177">
        <v>3</v>
      </c>
      <c r="S492" s="178" t="s">
        <v>141</v>
      </c>
      <c r="T492" s="179"/>
      <c r="U492" s="180">
        <f>F255</f>
        <v>20</v>
      </c>
    </row>
    <row r="493" spans="4:21" s="171" customFormat="1" ht="20.25" customHeight="1" hidden="1">
      <c r="D493" s="141"/>
      <c r="E493" s="141"/>
      <c r="F493" s="141">
        <f>1</f>
        <v>1</v>
      </c>
      <c r="G493" s="141"/>
      <c r="H493" s="140"/>
      <c r="I493" s="141"/>
      <c r="J493" s="140"/>
      <c r="L493" s="173"/>
      <c r="M493" s="173"/>
      <c r="N493" s="173"/>
      <c r="O493" s="175"/>
      <c r="P493" s="175"/>
      <c r="Q493" s="175"/>
      <c r="R493" s="181"/>
      <c r="S493" s="177"/>
      <c r="T493" s="177"/>
      <c r="U493" s="180"/>
    </row>
    <row r="494" spans="4:21" s="171" customFormat="1" ht="20.25" customHeight="1" hidden="1">
      <c r="D494" s="141"/>
      <c r="E494" s="141"/>
      <c r="F494" s="141"/>
      <c r="G494" s="141"/>
      <c r="H494" s="140"/>
      <c r="I494" s="141"/>
      <c r="J494" s="140"/>
      <c r="L494" s="173"/>
      <c r="M494" s="182"/>
      <c r="N494" s="182"/>
      <c r="O494" s="175"/>
      <c r="P494" s="175"/>
      <c r="Q494" s="175"/>
      <c r="R494" s="177">
        <f>D252</f>
        <v>18</v>
      </c>
      <c r="S494" s="177">
        <f>VLOOKUP(R496,A260:D271,4,0)</f>
        <v>28</v>
      </c>
      <c r="T494" s="177" t="str">
        <f>CONCATENATE("1-",R494-1,"/",R496,"/",S496)</f>
        <v>1-17/2/2010</v>
      </c>
      <c r="U494" s="177"/>
    </row>
    <row r="495" spans="4:21" s="171" customFormat="1" ht="20.25" customHeight="1" hidden="1">
      <c r="D495" s="141"/>
      <c r="E495" s="141"/>
      <c r="F495" s="141"/>
      <c r="G495" s="141"/>
      <c r="H495" s="140"/>
      <c r="I495" s="141"/>
      <c r="J495" s="140"/>
      <c r="L495" s="173">
        <f>E239</f>
        <v>10</v>
      </c>
      <c r="M495" s="173">
        <f>E249</f>
        <v>2008</v>
      </c>
      <c r="N495" s="173" t="str">
        <f>G239</f>
        <v>1.10.2008</v>
      </c>
      <c r="O495" s="175">
        <f>E240</f>
        <v>10</v>
      </c>
      <c r="P495" s="175">
        <f>E250</f>
        <v>2009</v>
      </c>
      <c r="Q495" s="175" t="str">
        <f>G240</f>
        <v>1.10.2009</v>
      </c>
      <c r="R495" s="183" t="str">
        <f>CONCATENATE("1-",R494-1,"/",R496,"/",S496)</f>
        <v>1-17/2/2010</v>
      </c>
      <c r="S495" s="184" t="str">
        <f>CONCATENATE(R494,"-",S494,"/",R496,"/",S496)</f>
        <v>18-28/2/2010</v>
      </c>
      <c r="T495" s="184" t="str">
        <f>CONCATENATE(R494,"-",S494,"/",R496,"/",S496)</f>
        <v>18-28/2/2010</v>
      </c>
      <c r="U495" s="184"/>
    </row>
    <row r="496" spans="4:21" s="171" customFormat="1" ht="20.25" customHeight="1" hidden="1">
      <c r="D496" s="141"/>
      <c r="E496" s="141"/>
      <c r="F496" s="141"/>
      <c r="G496" s="141"/>
      <c r="H496" s="140"/>
      <c r="I496" s="141"/>
      <c r="J496" s="140"/>
      <c r="L496" s="173"/>
      <c r="M496" s="173"/>
      <c r="N496" s="182"/>
      <c r="O496" s="175"/>
      <c r="P496" s="175"/>
      <c r="Q496" s="175"/>
      <c r="R496" s="185">
        <f>D253</f>
        <v>2</v>
      </c>
      <c r="S496" s="185">
        <f>E254</f>
        <v>2010</v>
      </c>
      <c r="T496" s="177"/>
      <c r="U496" s="180"/>
    </row>
    <row r="497" spans="4:21" s="171" customFormat="1" ht="20.25" customHeight="1" hidden="1">
      <c r="D497" s="141"/>
      <c r="E497" s="141"/>
      <c r="F497" s="141"/>
      <c r="G497" s="141"/>
      <c r="H497" s="140"/>
      <c r="I497" s="141"/>
      <c r="J497" s="140"/>
      <c r="L497" s="173"/>
      <c r="M497" s="182"/>
      <c r="N497" s="182"/>
      <c r="O497" s="175"/>
      <c r="P497" s="175"/>
      <c r="Q497" s="175"/>
      <c r="R497" s="177"/>
      <c r="S497" s="177"/>
      <c r="T497" s="177"/>
      <c r="U497" s="180"/>
    </row>
    <row r="498" spans="1:13" s="141" customFormat="1" ht="20.25" customHeight="1" hidden="1">
      <c r="A498" s="140"/>
      <c r="B498" s="259" t="str">
        <f>CONCATENATE("            Adverting to the above subject cited that ",D3,", ",F4,", ",D5,", Mandal ",D6," is senior to ",F3,", ",F4,", ",F5,", ","Mandal ",F6," drawing the less pay than the Junior, particulars of the Senior and Junior are shown below.")</f>
        <v>            Adverting to the above subject cited that Sri. P.Srinivas Reddy, SGT , UPS Sitharampoor, Mandal Domakonda is senior to Sri. Putta.Srinivas Reddy, SGT , UPS Sithrampoor, Mandal Domakonda drawing the less pay than the Junior, particulars of the Senior and Junior are shown below.</v>
      </c>
      <c r="C498" s="259"/>
      <c r="D498" s="259"/>
      <c r="E498" s="259"/>
      <c r="F498" s="259"/>
      <c r="G498" s="259"/>
      <c r="H498" s="140"/>
      <c r="J498" s="140"/>
      <c r="K498" s="141">
        <f>I275</f>
        <v>11530</v>
      </c>
      <c r="L498" s="141">
        <f>G279</f>
        <v>11860</v>
      </c>
      <c r="M498" s="141">
        <f>G280</f>
        <v>12190</v>
      </c>
    </row>
    <row r="499" spans="1:10" s="141" customFormat="1" ht="20.25" customHeight="1" hidden="1">
      <c r="A499" s="140"/>
      <c r="B499" s="259"/>
      <c r="C499" s="259"/>
      <c r="D499" s="259"/>
      <c r="E499" s="259"/>
      <c r="F499" s="259"/>
      <c r="G499" s="259"/>
      <c r="H499" s="140"/>
      <c r="J499" s="140"/>
    </row>
    <row r="500" spans="1:20" s="141" customFormat="1" ht="20.25" customHeight="1" hidden="1">
      <c r="A500" s="140"/>
      <c r="B500" s="259"/>
      <c r="C500" s="259"/>
      <c r="D500" s="259"/>
      <c r="E500" s="259"/>
      <c r="F500" s="259"/>
      <c r="G500" s="259"/>
      <c r="H500" s="140"/>
      <c r="J500" s="140"/>
      <c r="T500" s="141" t="s">
        <v>196</v>
      </c>
    </row>
    <row r="501" spans="1:21" s="141" customFormat="1" ht="32.25" customHeight="1" hidden="1">
      <c r="A501" s="140"/>
      <c r="B501" s="272" t="s">
        <v>203</v>
      </c>
      <c r="C501" s="272"/>
      <c r="D501" s="272"/>
      <c r="E501" s="272"/>
      <c r="F501" s="272"/>
      <c r="G501" s="272"/>
      <c r="H501" s="140"/>
      <c r="J501" s="140"/>
      <c r="K501" s="163" t="s">
        <v>142</v>
      </c>
      <c r="L501" s="186"/>
      <c r="M501" s="186" t="str">
        <f>IF(AND(U492=2),R495,IF(AND(U492&gt;=3),K501))</f>
        <v>01/07/08</v>
      </c>
      <c r="O501" s="141">
        <v>1</v>
      </c>
      <c r="P501" s="141" t="str">
        <f>IF(AND(F258=1,U492=O501),R495,IF(AND(F258=1,U492=O501-1),S495,K501))</f>
        <v>01/07/08</v>
      </c>
      <c r="R501" s="141">
        <f>IF(AND(S501=R495),100,IF(AND(S501=S495),200,(VLOOKUP(S501,S308:T345,2,0))))</f>
        <v>100</v>
      </c>
      <c r="S501" s="141" t="str">
        <f>IF(AND(F258=1,U492&lt;20),P521,IF(AND(F258=1,U492&gt;19),P520,P520))</f>
        <v>1-17/2/2010</v>
      </c>
      <c r="T501" s="141">
        <f>VLOOKUP(R501,T308:U348,2,0)</f>
        <v>7401</v>
      </c>
      <c r="U501" s="141">
        <f>VLOOKUP(R501,T308:V348,3,0)</f>
        <v>7401</v>
      </c>
    </row>
    <row r="502" spans="1:21" s="141" customFormat="1" ht="20.25" customHeight="1" hidden="1">
      <c r="A502" s="140"/>
      <c r="H502" s="140"/>
      <c r="J502" s="140"/>
      <c r="K502" s="163" t="s">
        <v>143</v>
      </c>
      <c r="M502" s="186" t="str">
        <f>IF(AND(M501=S495),T495,IF(AND(M501=T495),K502,IF(AND(U492=2),S495,IF(AND(U492=3),S495,IF(AND(F493&gt;=1),K502)))))</f>
        <v>01/08/08</v>
      </c>
      <c r="O502" s="141">
        <v>2</v>
      </c>
      <c r="P502" s="141" t="str">
        <f>IF(AND(F258=1,U492=O502),R495,IF(AND(F258=1,U492=O502-1),S495,K502))</f>
        <v>01/08/08</v>
      </c>
      <c r="R502" s="141">
        <f>IF(AND(S502=R495),100,IF(AND(S502=S495),200,(VLOOKUP(S502,S308:T345,2,0))))</f>
        <v>200</v>
      </c>
      <c r="S502" s="141" t="str">
        <f>IF(AND(F258=1,U492&lt;20),P522,IF(AND(F258=1,U492&gt;19),P521,P521))</f>
        <v>18-28/2/2010</v>
      </c>
      <c r="T502" s="141">
        <f>VLOOKUP(R502,T308:U348,2,0)</f>
        <v>4930</v>
      </c>
      <c r="U502" s="141">
        <f>VLOOKUP(R502,T308:V348,3,0)</f>
        <v>4930</v>
      </c>
    </row>
    <row r="503" spans="1:21" s="141" customFormat="1" ht="20.25" customHeight="1" hidden="1">
      <c r="A503" s="140"/>
      <c r="H503" s="140"/>
      <c r="J503" s="140"/>
      <c r="K503" s="163" t="s">
        <v>144</v>
      </c>
      <c r="O503" s="141">
        <v>3</v>
      </c>
      <c r="P503" s="141" t="str">
        <f>IF(AND(F258=1,U492=O503),R495,IF(AND(F258=1,U492=O503-1),S495,IF(AND(F258=1,U492&lt;O503),K502,K503)))</f>
        <v>01/09/08</v>
      </c>
      <c r="R503" s="141">
        <f>IF(AND(S503=R495),100,IF(AND(S503=S495),200,(VLOOKUP(S503,S308:T345,2,0))))</f>
        <v>21</v>
      </c>
      <c r="S503" s="141" t="str">
        <f>IF(AND(F258=1,U492&lt;20),P523,IF(AND(F258=1,U492&gt;19),P522,P522))</f>
        <v>01/03/10</v>
      </c>
      <c r="T503" s="141">
        <f>VLOOKUP(R503,T308:U348,2,0)</f>
        <v>12550</v>
      </c>
      <c r="U503" s="141">
        <f>VLOOKUP(R503,T308:V348,3,0)</f>
        <v>12550</v>
      </c>
    </row>
    <row r="504" spans="1:21" s="141" customFormat="1" ht="20.25" customHeight="1" hidden="1">
      <c r="A504" s="140"/>
      <c r="B504" s="141" t="str">
        <f>CONCATENATE("Increment Preponement Arrears of ",D3,", ",F4,",",D5,", Mandal ",D6)</f>
        <v>Increment Preponement Arrears of Sri. P.Srinivas Reddy, SGT ,UPS Sitharampoor, Mandal Domakonda</v>
      </c>
      <c r="H504" s="140"/>
      <c r="J504" s="140"/>
      <c r="K504" s="163" t="s">
        <v>145</v>
      </c>
      <c r="O504" s="141">
        <v>4</v>
      </c>
      <c r="P504" s="141" t="str">
        <f>IF(AND(F258=1,U492=O504),R495,IF(AND(F258=1,U492=O504-1),S495,IF(AND(F258=1,U492&lt;O504),K503,K504)))</f>
        <v>01/10/08</v>
      </c>
      <c r="R504" s="141">
        <f>IF(AND(S504=R495),100,IF(AND(S504=S495),200,(VLOOKUP(S504,S308:T345,2,0))))</f>
        <v>22</v>
      </c>
      <c r="S504" s="141" t="str">
        <f>IF(AND(F258=1,U492&lt;20),P524,IF(AND(F258=1,U492&gt;19),P523,P523))</f>
        <v>01/04/10</v>
      </c>
      <c r="T504" s="141">
        <f>VLOOKUP(R504,T308:U348,2,0)</f>
        <v>12550</v>
      </c>
      <c r="U504" s="141">
        <f>VLOOKUP(R504,T308:V348,3,0)</f>
        <v>12550</v>
      </c>
    </row>
    <row r="505" spans="1:21" s="141" customFormat="1" ht="20.25" customHeight="1" hidden="1">
      <c r="A505" s="140"/>
      <c r="B505" s="141" t="str">
        <f>CONCATENATE("Increment Preponement Arrears of ",D3,", ",F4,",",D5)</f>
        <v>Increment Preponement Arrears of Sri. P.Srinivas Reddy, SGT ,UPS Sitharampoor</v>
      </c>
      <c r="H505" s="140"/>
      <c r="J505" s="140"/>
      <c r="K505" s="163" t="s">
        <v>146</v>
      </c>
      <c r="O505" s="141">
        <v>5</v>
      </c>
      <c r="P505" s="141" t="str">
        <f>IF(AND(F258=1,U492=O505),R495,IF(AND(F258=1,U492=O505-1),S495,IF(AND(F258=1,U492&lt;O505),K504,K505)))</f>
        <v>01/11/08</v>
      </c>
      <c r="R505" s="141">
        <f>IF(AND(S505=R495),100,IF(AND(S505=S495),200,(VLOOKUP(S505,S308:T345,2,0))))</f>
        <v>23</v>
      </c>
      <c r="S505" s="141" t="str">
        <f>IF(AND(F258=1,U492&lt;20),P525,IF(AND(F258=1,U492&gt;19),P524,P524))</f>
        <v>01/05/10</v>
      </c>
      <c r="T505" s="141">
        <f>VLOOKUP(R505,T308:U348,2,0)</f>
        <v>12550</v>
      </c>
      <c r="U505" s="141">
        <f>VLOOKUP(R505,T308:V348,3,0)</f>
        <v>12550</v>
      </c>
    </row>
    <row r="506" spans="1:21" s="141" customFormat="1" ht="20.25" customHeight="1" hidden="1">
      <c r="A506" s="140"/>
      <c r="H506" s="140"/>
      <c r="J506" s="140"/>
      <c r="K506" s="163" t="s">
        <v>147</v>
      </c>
      <c r="O506" s="141">
        <v>6</v>
      </c>
      <c r="P506" s="141" t="str">
        <f>IF(AND(F258=1,U492=O506),R495,IF(AND(F258=1,U492=O506-1),S495,IF(AND(F258=1,U492&lt;O506),K505,K506)))</f>
        <v>01/12/08</v>
      </c>
      <c r="R506" s="141">
        <f>IF(AND(S506=R495),100,IF(AND(S506=S495),200,(VLOOKUP(S506,S308:T345,2,0))))</f>
        <v>24</v>
      </c>
      <c r="S506" s="141" t="str">
        <f>IF(AND(F258=1,U492&lt;20),P526,IF(AND(F258=1,U492&gt;19),P525,P525))</f>
        <v>01/06/10</v>
      </c>
      <c r="T506" s="141">
        <f>VLOOKUP(R506,T308:U348,2,0)</f>
        <v>12550</v>
      </c>
      <c r="U506" s="141">
        <f>VLOOKUP(R506,T308:V348,3,0)</f>
        <v>12550</v>
      </c>
    </row>
    <row r="507" spans="1:21" s="141" customFormat="1" ht="20.25" customHeight="1" hidden="1">
      <c r="A507" s="140"/>
      <c r="H507" s="140"/>
      <c r="J507" s="140"/>
      <c r="K507" s="163" t="s">
        <v>148</v>
      </c>
      <c r="O507" s="141">
        <v>7</v>
      </c>
      <c r="P507" s="141" t="str">
        <f>IF(AND(F258=1,U492=O507),R495,IF(AND(F258=1,U492=O507-1),S495,IF(AND(F258=1,U492&lt;O507),K506,K507)))</f>
        <v>01/01/09</v>
      </c>
      <c r="R507" s="141">
        <f>IF(AND(S507=R495),100,IF(AND(S507=S495),200,(VLOOKUP(S507,S308:T345,2,0))))</f>
        <v>25</v>
      </c>
      <c r="S507" s="141" t="str">
        <f>IF(AND(F258=1,U492&lt;20),P527,IF(AND(F258=1,U492&gt;19),P526,P526))</f>
        <v>01/07/10</v>
      </c>
      <c r="T507" s="141">
        <f>VLOOKUP(R507,T308:U348,2,0)</f>
        <v>12550</v>
      </c>
      <c r="U507" s="141">
        <f>VLOOKUP(R507,T308:V348,3,0)</f>
        <v>12550</v>
      </c>
    </row>
    <row r="508" spans="1:21" s="141" customFormat="1" ht="20.25" customHeight="1" hidden="1">
      <c r="A508" s="140"/>
      <c r="H508" s="140"/>
      <c r="J508" s="140"/>
      <c r="K508" s="163" t="s">
        <v>149</v>
      </c>
      <c r="O508" s="141">
        <v>8</v>
      </c>
      <c r="P508" s="141" t="str">
        <f>IF(AND(F258=1,U492=O508),R495,IF(AND(F258=1,U492=O508-1),S495,IF(AND(F258=1,U492&lt;O508),K507,K508)))</f>
        <v>01/02/09</v>
      </c>
      <c r="R508" s="141">
        <f>IF(AND(S508=R495),100,IF(AND(S508=S495),200,(VLOOKUP(S508,S308:T345,2,0))))</f>
        <v>26</v>
      </c>
      <c r="S508" s="141" t="str">
        <f>IF(AND(F258=1,U492&lt;20),P528,IF(AND(F258=1,U492&gt;19),P527,P527))</f>
        <v>01/08/10</v>
      </c>
      <c r="T508" s="141">
        <f>VLOOKUP(R508,T308:U348,2,0)</f>
        <v>12550</v>
      </c>
      <c r="U508" s="141">
        <f>VLOOKUP(R508,T308:V348,3,0)</f>
        <v>12550</v>
      </c>
    </row>
    <row r="509" spans="1:21" s="141" customFormat="1" ht="20.25" customHeight="1" hidden="1">
      <c r="A509" s="140"/>
      <c r="H509" s="140"/>
      <c r="J509" s="140"/>
      <c r="K509" s="163" t="s">
        <v>150</v>
      </c>
      <c r="O509" s="141">
        <v>9</v>
      </c>
      <c r="P509" s="141" t="str">
        <f>IF(AND(F258=1,U492=O509),R495,IF(AND(F258=1,U492=O509-1),S495,IF(AND(F258=1,U492&lt;O509),K508,K509)))</f>
        <v>01/03/09</v>
      </c>
      <c r="R509" s="141">
        <f>IF(AND(S509=R495),100,IF(AND(S509=S495),200,(VLOOKUP(S509,S308:T345,2,0))))</f>
        <v>27</v>
      </c>
      <c r="S509" s="141" t="str">
        <f>IF(AND(F258=1,U492&lt;20),P529,IF(AND(F258=1,U492&gt;19),P528,P528))</f>
        <v>01/09/10</v>
      </c>
      <c r="T509" s="141">
        <f>VLOOKUP(R509,T308:U348,2,0)</f>
        <v>12550</v>
      </c>
      <c r="U509" s="141">
        <f>VLOOKUP(R509,T308:V348,3,0)</f>
        <v>12550</v>
      </c>
    </row>
    <row r="510" spans="1:21" s="141" customFormat="1" ht="20.25" customHeight="1" hidden="1">
      <c r="A510" s="140"/>
      <c r="H510" s="140"/>
      <c r="J510" s="140"/>
      <c r="K510" s="163" t="s">
        <v>151</v>
      </c>
      <c r="O510" s="141">
        <v>10</v>
      </c>
      <c r="P510" s="141" t="str">
        <f>IF(AND(F258=1,U492=O510),R495,IF(AND(F258=1,U492=O510-1),S495,IF(AND(F258=1,U492&lt;O510),K509,K510)))</f>
        <v>01/04/09</v>
      </c>
      <c r="R510" s="141">
        <f>IF(AND(S510=R495),100,IF(AND(S510=S495),200,(VLOOKUP(S510,S308:T345,2,0))))</f>
        <v>28</v>
      </c>
      <c r="S510" s="141" t="str">
        <f>IF(AND(F258=1,U492&lt;20),P530,IF(AND(F258=1,U492&gt;19),P529,P529))</f>
        <v>01/10/10</v>
      </c>
      <c r="T510" s="141">
        <f>VLOOKUP(R510,T308:U348,2,0)</f>
        <v>12910</v>
      </c>
      <c r="U510" s="141">
        <f>VLOOKUP(R510,T308:V348,3,0)</f>
        <v>12550</v>
      </c>
    </row>
    <row r="511" spans="1:21" s="141" customFormat="1" ht="20.25" customHeight="1" hidden="1">
      <c r="A511" s="140"/>
      <c r="H511" s="140"/>
      <c r="J511" s="140"/>
      <c r="K511" s="163" t="s">
        <v>152</v>
      </c>
      <c r="O511" s="141">
        <v>11</v>
      </c>
      <c r="P511" s="141" t="str">
        <f>IF(AND(F258=1,U492=O511),R495,IF(AND(F258=1,U492=O511-1),S495,IF(AND(F258=1,U492&lt;O511),K510,K511)))</f>
        <v>01/05/09</v>
      </c>
      <c r="R511" s="141">
        <f>IF(AND(S511=R495),100,IF(AND(S511=S495),200,(VLOOKUP(S511,S308:T345,2,0))))</f>
        <v>29</v>
      </c>
      <c r="S511" s="141" t="str">
        <f>IF(AND(F258=1,U492&lt;20),P531,IF(AND(F258=1,U492&gt;19),P530,P530))</f>
        <v>01/11/10</v>
      </c>
      <c r="T511" s="141">
        <f>VLOOKUP(R511,T308:U348,2,0)</f>
        <v>12910</v>
      </c>
      <c r="U511" s="141">
        <f>VLOOKUP(R511,T308:V348,3,0)</f>
        <v>12550</v>
      </c>
    </row>
    <row r="512" spans="1:21" s="141" customFormat="1" ht="20.25" customHeight="1" hidden="1">
      <c r="A512" s="140"/>
      <c r="H512" s="140"/>
      <c r="J512" s="140"/>
      <c r="K512" s="163" t="s">
        <v>153</v>
      </c>
      <c r="O512" s="141">
        <v>12</v>
      </c>
      <c r="P512" s="141" t="str">
        <f>IF(AND(F258=1,U492=O512),R495,IF(AND(F258=1,U492=O512-1),S495,IF(AND(F258=1,U492&lt;O512),K511,K512)))</f>
        <v>01/06/09</v>
      </c>
      <c r="R512" s="141">
        <f>IF(AND(S512=R495),100,IF(AND(S512=S495),200,(VLOOKUP(S512,S308:T345,2,0))))</f>
        <v>30</v>
      </c>
      <c r="S512" s="141" t="str">
        <f>IF(AND(F258=1,U492&lt;20),P532,IF(AND(F258=1,U492&gt;19),P531,P531))</f>
        <v>01/12/10</v>
      </c>
      <c r="T512" s="141">
        <f>VLOOKUP(R512,T308:U348,2,0)</f>
        <v>12910</v>
      </c>
      <c r="U512" s="141">
        <f>VLOOKUP(R512,T308:V348,3,0)</f>
        <v>12550</v>
      </c>
    </row>
    <row r="513" spans="1:21" s="141" customFormat="1" ht="20.25" customHeight="1" hidden="1">
      <c r="A513" s="140"/>
      <c r="B513" s="141" t="s">
        <v>407</v>
      </c>
      <c r="C513" s="141">
        <v>1</v>
      </c>
      <c r="H513" s="140"/>
      <c r="J513" s="140"/>
      <c r="K513" s="163" t="s">
        <v>154</v>
      </c>
      <c r="O513" s="141">
        <v>13</v>
      </c>
      <c r="P513" s="141" t="str">
        <f>IF(AND(F258=1,U492=O513),R495,IF(AND(F258=1,U492=O513-1),S495,IF(AND(F258=1,U492&lt;O513),K512,K513)))</f>
        <v>01/07/09</v>
      </c>
      <c r="R513" s="141">
        <f>IF(AND(S513=R495),100,IF(AND(S513=S495),200,(VLOOKUP(S513,S308:T345,2,0))))</f>
        <v>31</v>
      </c>
      <c r="S513" s="141" t="str">
        <f>IF(AND(F258=1,U492&lt;20),P533,IF(AND(F258=1,U492&gt;19),P532,P532))</f>
        <v>01/01/11</v>
      </c>
      <c r="T513" s="141">
        <f>VLOOKUP(R513,T308:U348,2,0)</f>
        <v>12910</v>
      </c>
      <c r="U513" s="141">
        <f>VLOOKUP(R513,T308:V348,3,0)</f>
        <v>12550</v>
      </c>
    </row>
    <row r="514" spans="1:21" s="141" customFormat="1" ht="20.25" customHeight="1" hidden="1">
      <c r="A514" s="140"/>
      <c r="B514" s="141">
        <v>1</v>
      </c>
      <c r="C514" s="141" t="s">
        <v>487</v>
      </c>
      <c r="H514" s="140"/>
      <c r="J514" s="140"/>
      <c r="K514" s="163" t="s">
        <v>155</v>
      </c>
      <c r="O514" s="141">
        <v>14</v>
      </c>
      <c r="P514" s="141" t="str">
        <f>IF(AND(F258=1,U492=O514),R495,IF(AND(F258=1,U492=O514-1),S495,IF(AND(F258=1,U492&lt;O514),K513,K514)))</f>
        <v>01/08/09</v>
      </c>
      <c r="R514" s="141">
        <f>IF(AND(S514=R495),100,IF(AND(S514=S495),200,(VLOOKUP(S514,S308:T345,2,0))))</f>
        <v>32</v>
      </c>
      <c r="S514" s="141" t="str">
        <f>IF(AND(F258=1,U492&lt;20),P534,IF(AND(F258=1,U492&gt;19),P533,P533))</f>
        <v>01/02/11</v>
      </c>
      <c r="T514" s="141">
        <f>VLOOKUP(R514,T308:U348,2,0)</f>
        <v>12910</v>
      </c>
      <c r="U514" s="141">
        <f>VLOOKUP(R515,T308:V348,3,0)</f>
        <v>12550</v>
      </c>
    </row>
    <row r="515" spans="1:21" s="141" customFormat="1" ht="20.25" customHeight="1" hidden="1">
      <c r="A515" s="140"/>
      <c r="B515" s="141">
        <v>2</v>
      </c>
      <c r="C515" s="141" t="s">
        <v>488</v>
      </c>
      <c r="H515" s="140"/>
      <c r="J515" s="140"/>
      <c r="K515" s="163" t="s">
        <v>156</v>
      </c>
      <c r="O515" s="141">
        <v>15</v>
      </c>
      <c r="P515" s="141" t="str">
        <f>IF(AND(F258=1,U492=O515),R495,IF(AND(F258=1,U492=O515-1),S495,IF(AND(F258=1,U492&lt;O515),K514,K515)))</f>
        <v>01/09/09</v>
      </c>
      <c r="R515" s="141">
        <f>IF(AND(S515=R495),100,IF(AND(S515=S495),200,(VLOOKUP(S515,S308:T345,2,0))))</f>
        <v>33</v>
      </c>
      <c r="S515" s="141" t="str">
        <f>IF(AND(F258=1,U492&lt;20),P535,IF(AND(F258=1,U492&gt;19),P534,P534))</f>
        <v>01/03/11</v>
      </c>
      <c r="T515" s="141">
        <f>VLOOKUP(R515,T308:U348,2,0)</f>
        <v>12910</v>
      </c>
      <c r="U515" s="141">
        <f>VLOOKUP(R515,T308:V348,3,0)</f>
        <v>12550</v>
      </c>
    </row>
    <row r="516" spans="1:21" s="141" customFormat="1" ht="20.25" customHeight="1" hidden="1">
      <c r="A516" s="140"/>
      <c r="B516" s="141">
        <v>3</v>
      </c>
      <c r="C516" s="141" t="s">
        <v>489</v>
      </c>
      <c r="H516" s="140"/>
      <c r="J516" s="140"/>
      <c r="K516" s="163" t="s">
        <v>157</v>
      </c>
      <c r="O516" s="141">
        <v>16</v>
      </c>
      <c r="P516" s="141" t="str">
        <f>IF(AND(F258=1,U492=O516),R495,IF(AND(F258=1,U492=O516-1),S495,IF(AND(F258=1,U492&lt;O516),K515,K516)))</f>
        <v>01/10/09</v>
      </c>
      <c r="R516" s="141">
        <f>IF(AND(S516=R495),100,IF(AND(S516=S495),200,(VLOOKUP(S516,S308:T345,2,0))))</f>
        <v>34</v>
      </c>
      <c r="S516" s="141" t="str">
        <f>IF(AND(F258=1,U492&lt;20),P536,IF(AND(F258=1,U492&gt;19),P535,P535))</f>
        <v>01/04/11</v>
      </c>
      <c r="T516" s="141">
        <f>VLOOKUP(R516,T308:U348,2,0)</f>
        <v>12910</v>
      </c>
      <c r="U516" s="141">
        <f>VLOOKUP(R516,T308:V348,3,0)</f>
        <v>12550</v>
      </c>
    </row>
    <row r="517" spans="1:21" s="141" customFormat="1" ht="20.25" customHeight="1" hidden="1">
      <c r="A517" s="140"/>
      <c r="B517" s="141">
        <v>4</v>
      </c>
      <c r="C517" s="141" t="s">
        <v>490</v>
      </c>
      <c r="H517" s="140"/>
      <c r="J517" s="140"/>
      <c r="K517" s="163" t="s">
        <v>158</v>
      </c>
      <c r="O517" s="141">
        <v>17</v>
      </c>
      <c r="P517" s="141" t="str">
        <f>IF(AND(F258=1,U492=O517),R495,IF(AND(F258=1,U492=O517-1),S495,IF(AND(F258=1,U492&lt;O517),K516,K517)))</f>
        <v>01/11/09</v>
      </c>
      <c r="R517" s="141">
        <f>IF(AND(S517=R495),100,IF(AND(S517=S495),200,(VLOOKUP(S517,S308:T345,2,0))))</f>
        <v>35</v>
      </c>
      <c r="S517" s="141" t="str">
        <f>IF(AND(F258=1,U492&lt;20),P537,IF(AND(F258=1,U492&gt;19),P536,P536))</f>
        <v>01/05/11</v>
      </c>
      <c r="T517" s="141">
        <f>VLOOKUP(R517,T308:U348,2,0)</f>
        <v>12910</v>
      </c>
      <c r="U517" s="141">
        <f>VLOOKUP(R517,T308:V348,3,0)</f>
        <v>12550</v>
      </c>
    </row>
    <row r="518" spans="1:21" s="141" customFormat="1" ht="20.25" customHeight="1" hidden="1">
      <c r="A518" s="140"/>
      <c r="B518" s="141">
        <v>5</v>
      </c>
      <c r="C518" s="141" t="s">
        <v>408</v>
      </c>
      <c r="H518" s="140"/>
      <c r="J518" s="140"/>
      <c r="K518" s="163" t="s">
        <v>159</v>
      </c>
      <c r="O518" s="141">
        <v>18</v>
      </c>
      <c r="P518" s="141" t="str">
        <f>IF(AND(F258=1,U492=O518),R495,IF(AND(F258=1,U492=O518-1),S495,IF(AND(F258=1,U492&lt;O518),K517,K518)))</f>
        <v>01/12/09</v>
      </c>
      <c r="R518" s="141">
        <f>IF(AND(S518=R495),100,IF(AND(S518=S495),200,(VLOOKUP(S518,S308:T348,2,0))))</f>
        <v>36</v>
      </c>
      <c r="S518" s="141" t="str">
        <f>IF(AND(F258=1,U492&lt;20),P538,IF(AND(F258=1,U492&gt;19),P537,P537))</f>
        <v>01/06/11</v>
      </c>
      <c r="T518" s="141">
        <f>VLOOKUP(R518,T308:U348,2,0)</f>
        <v>12910</v>
      </c>
      <c r="U518" s="141">
        <f>VLOOKUP(R518,T308:V348,3,0)</f>
        <v>12550</v>
      </c>
    </row>
    <row r="519" spans="1:21" s="141" customFormat="1" ht="20.25" customHeight="1" hidden="1">
      <c r="A519" s="140"/>
      <c r="H519" s="140"/>
      <c r="J519" s="140"/>
      <c r="K519" s="163" t="s">
        <v>160</v>
      </c>
      <c r="O519" s="141">
        <v>19</v>
      </c>
      <c r="P519" s="141" t="str">
        <f>IF(AND(F258=1,U492=O519),R495,IF(AND(F258=1,U492=O519-1),S495,IF(AND(F258=1,U492&lt;O519),K518,K519)))</f>
        <v>01/01/10</v>
      </c>
      <c r="R519" s="141">
        <v>19</v>
      </c>
      <c r="S519" s="141">
        <f>IF(AND(F258=1,U492&lt;20),P539,IF(AND(F258=1,U492&gt;19),P538,P538))</f>
        <v>0</v>
      </c>
      <c r="T519" s="141">
        <f>VLOOKUP(R519,T308:U348,2,0)</f>
        <v>12190</v>
      </c>
      <c r="U519" s="141">
        <f>VLOOKUP(R519,T308:V348,3,0)</f>
        <v>12190</v>
      </c>
    </row>
    <row r="520" spans="1:20" s="141" customFormat="1" ht="20.25" customHeight="1" hidden="1">
      <c r="A520" s="140"/>
      <c r="H520" s="140"/>
      <c r="J520" s="140"/>
      <c r="K520" s="163" t="s">
        <v>161</v>
      </c>
      <c r="O520" s="141">
        <v>20</v>
      </c>
      <c r="P520" s="141" t="str">
        <f>IF(AND(F258=1,U492=O520),R495,IF(AND(F258=1,U492=O520-1),S495,IF(AND(F258=1,U492&lt;O520),K519,K520)))</f>
        <v>1-17/2/2010</v>
      </c>
      <c r="R520" s="141">
        <v>20</v>
      </c>
      <c r="T520" s="141">
        <f>VLOOKUP(R520,T308:U348,2,0)</f>
        <v>12550</v>
      </c>
    </row>
    <row r="521" spans="1:20" s="141" customFormat="1" ht="20.25" customHeight="1" hidden="1">
      <c r="A521" s="140"/>
      <c r="H521" s="140"/>
      <c r="J521" s="140"/>
      <c r="K521" s="163" t="s">
        <v>162</v>
      </c>
      <c r="O521" s="141">
        <v>21</v>
      </c>
      <c r="P521" s="141" t="str">
        <f>IF(AND(F258=1,U492=O521),R495,IF(AND(F258=1,U492=O521-1),S495,IF(AND(F258=1,U492&lt;O521),K520,K521)))</f>
        <v>18-28/2/2010</v>
      </c>
      <c r="R521" s="141">
        <v>21</v>
      </c>
      <c r="T521" s="141">
        <f>VLOOKUP(R521,T308:U348,2,0)</f>
        <v>12550</v>
      </c>
    </row>
    <row r="522" spans="1:20" s="141" customFormat="1" ht="20.25" customHeight="1" hidden="1">
      <c r="A522" s="140"/>
      <c r="C522" s="187">
        <v>2</v>
      </c>
      <c r="D522" s="187">
        <v>2</v>
      </c>
      <c r="E522" s="187">
        <v>0</v>
      </c>
      <c r="F522" s="187">
        <v>2</v>
      </c>
      <c r="H522" s="140"/>
      <c r="J522" s="140"/>
      <c r="K522" s="163" t="s">
        <v>163</v>
      </c>
      <c r="O522" s="141">
        <v>22</v>
      </c>
      <c r="P522" s="141" t="str">
        <f>IF(AND(F258=1,U492=O522),R495,IF(AND(F258=1,U492=O522-1),S495,IF(AND(F258=1,U492&lt;O522),K521,K522)))</f>
        <v>01/03/10</v>
      </c>
      <c r="R522" s="141">
        <v>22</v>
      </c>
      <c r="T522" s="141">
        <f>VLOOKUP(R522,T308:U348,2,0)</f>
        <v>12550</v>
      </c>
    </row>
    <row r="523" spans="1:20" s="141" customFormat="1" ht="20.25" customHeight="1" hidden="1">
      <c r="A523" s="140"/>
      <c r="C523" s="188">
        <v>0</v>
      </c>
      <c r="D523" s="188">
        <f>IF(AND(C513=1),1,IF(AND(C513=2),2,IF(AND(C513=3),1,IF(AND(C513=4),2,IF(AND(C513=5),"")))))</f>
        <v>1</v>
      </c>
      <c r="H523" s="140"/>
      <c r="J523" s="140"/>
      <c r="K523" s="163" t="s">
        <v>164</v>
      </c>
      <c r="O523" s="141">
        <v>23</v>
      </c>
      <c r="P523" s="141" t="str">
        <f>IF(AND(F258=1,U492=O523),R495,IF(AND(F258=1,U492=O523-1),S495,IF(AND(F258=1,U492&lt;O523),K522,K523)))</f>
        <v>01/04/10</v>
      </c>
      <c r="R523" s="141">
        <v>23</v>
      </c>
      <c r="T523" s="141">
        <f>VLOOKUP(R523,T308:U348,2,0)</f>
        <v>12550</v>
      </c>
    </row>
    <row r="524" spans="1:20" s="141" customFormat="1" ht="20.25" customHeight="1" hidden="1">
      <c r="A524" s="140"/>
      <c r="C524" s="187">
        <v>1</v>
      </c>
      <c r="D524" s="187">
        <f>IF(AND(C513=2),9,IF(AND(C513=5),"",0))</f>
        <v>0</v>
      </c>
      <c r="E524" s="187">
        <f>IF(AND(C513=1),3,IF(AND(C513=2),1,IF(AND(C513=3),1,IF(AND(C513=4),9,IF(AND(C513=5),"")))))</f>
        <v>3</v>
      </c>
      <c r="H524" s="140"/>
      <c r="J524" s="140"/>
      <c r="K524" s="163" t="s">
        <v>165</v>
      </c>
      <c r="O524" s="141">
        <v>24</v>
      </c>
      <c r="P524" s="141" t="str">
        <f>IF(AND(F258=1,U492=O524),R495,IF(AND(F258=1,U492=O524-1),S495,IF(AND(F258=1,U492&lt;O524),K523,K524)))</f>
        <v>01/05/10</v>
      </c>
      <c r="R524" s="141">
        <v>24</v>
      </c>
      <c r="T524" s="141">
        <f>VLOOKUP(R524,T308:U348,2,0)</f>
        <v>12550</v>
      </c>
    </row>
    <row r="525" spans="1:20" s="141" customFormat="1" ht="20.25" customHeight="1" hidden="1">
      <c r="A525" s="140"/>
      <c r="C525" s="187">
        <v>0</v>
      </c>
      <c r="D525" s="187">
        <f>IF(AND(C513&lt;3),5,IF(AND(C513&gt;2,C513&lt;5),4,""))</f>
        <v>5</v>
      </c>
      <c r="H525" s="140"/>
      <c r="J525" s="140"/>
      <c r="K525" s="163" t="s">
        <v>166</v>
      </c>
      <c r="O525" s="141">
        <v>25</v>
      </c>
      <c r="P525" s="141" t="str">
        <f>IF(AND(F258=1,U492=O525),R495,IF(AND(F258=1,U492=O525-1),S495,IF(AND(F258=1,U492&lt;O525),K524,K525)))</f>
        <v>01/06/10</v>
      </c>
      <c r="R525" s="141">
        <v>25</v>
      </c>
      <c r="T525" s="141">
        <f>VLOOKUP(R525,T308:U348,2,0)</f>
        <v>12550</v>
      </c>
    </row>
    <row r="526" spans="1:20" s="141" customFormat="1" ht="20.25" customHeight="1" hidden="1">
      <c r="A526" s="140"/>
      <c r="H526" s="140"/>
      <c r="J526" s="140"/>
      <c r="K526" s="163" t="s">
        <v>167</v>
      </c>
      <c r="O526" s="141">
        <v>26</v>
      </c>
      <c r="P526" s="141" t="str">
        <f>IF(AND(F258=1,U492=O526),R495,IF(AND(F258=1,U492=O526-1),S495,IF(AND(F258=1,U492&lt;O526),K525,K526)))</f>
        <v>01/07/10</v>
      </c>
      <c r="R526" s="141">
        <v>26</v>
      </c>
      <c r="T526" s="141">
        <f>VLOOKUP(R526,T308:U348,2,0)</f>
        <v>12550</v>
      </c>
    </row>
    <row r="527" spans="1:20" s="141" customFormat="1" ht="20.25" customHeight="1" hidden="1">
      <c r="A527" s="140"/>
      <c r="C527" s="141" t="str">
        <f>IF(AND(C513=1),"Ele. Edn.",IF(AND(C513=2),"Sec. Edn.",IF(AND(C513=3),"Ele. Edn.",IF(AND(C513=4),"Sec. Edn.",IF(AND(C513=5),"")))))</f>
        <v>Ele. Edn.</v>
      </c>
      <c r="H527" s="140"/>
      <c r="J527" s="140"/>
      <c r="K527" s="163" t="s">
        <v>168</v>
      </c>
      <c r="O527" s="141">
        <v>27</v>
      </c>
      <c r="P527" s="141" t="str">
        <f>IF(AND(F258=1,U492=O527),R495,IF(AND(F258=1,U492=O527-1),S495,IF(AND(F258=1,U492&lt;O527),K526,K527)))</f>
        <v>01/08/10</v>
      </c>
      <c r="R527" s="141">
        <v>27</v>
      </c>
      <c r="T527" s="141">
        <f>VLOOKUP(R527,T308:U348,2,0)</f>
        <v>12550</v>
      </c>
    </row>
    <row r="528" spans="1:20" s="141" customFormat="1" ht="20.25" customHeight="1" hidden="1">
      <c r="A528" s="140"/>
      <c r="C528" s="141" t="str">
        <f>IF(AND(C513=1),"Assistance to the local bodies to Primary Education.",IF(AND(C513=2),"Assistance to the local bodies to Secondary Education.",IF(AND(C513=3),"Govt. Primary Schools.",IF(AND(C513=4),"Govt. High Schools.",IF(AND(C513=5),"")))))</f>
        <v>Assistance to the local bodies to Primary Education.</v>
      </c>
      <c r="H528" s="140"/>
      <c r="J528" s="140"/>
      <c r="K528" s="163" t="s">
        <v>169</v>
      </c>
      <c r="O528" s="141">
        <v>28</v>
      </c>
      <c r="P528" s="141" t="str">
        <f>IF(AND(F258=1,U492=O528),R495,IF(AND(F258=1,U492=O528-1),S495,IF(AND(F258=1,U492&lt;O528),K527,K528)))</f>
        <v>01/09/10</v>
      </c>
      <c r="R528" s="141">
        <v>28</v>
      </c>
      <c r="T528" s="141">
        <f>VLOOKUP(R528,T308:U348,2,0)</f>
        <v>12910</v>
      </c>
    </row>
    <row r="529" spans="1:20" s="141" customFormat="1" ht="20.25" customHeight="1" hidden="1">
      <c r="A529" s="140"/>
      <c r="C529" s="141" t="str">
        <f>IF(AND(C513=1),"Teaching Grants to MPP's.",IF(AND(C513=2),"Teaching Grants to ZPP's.",IF(AND(C513=3),"Govt. Primary Schools.",IF(AND(C513=4),"Govt. High Schools.",IF(AND(C513=5),"")))))</f>
        <v>Teaching Grants to MPP's.</v>
      </c>
      <c r="H529" s="140"/>
      <c r="J529" s="140"/>
      <c r="K529" s="163" t="s">
        <v>170</v>
      </c>
      <c r="O529" s="141">
        <v>29</v>
      </c>
      <c r="P529" s="141" t="str">
        <f>IF(AND(F258=1,U492=O529),R495,IF(AND(F258=1,U492=O529-1),S495,IF(AND(F258=1,U492&lt;O529),K528,K529)))</f>
        <v>01/10/10</v>
      </c>
      <c r="R529" s="141">
        <v>29</v>
      </c>
      <c r="T529" s="141">
        <f>VLOOKUP(R529,T308:U348,2,0)</f>
        <v>12910</v>
      </c>
    </row>
    <row r="530" spans="1:20" s="141" customFormat="1" ht="20.25" customHeight="1" hidden="1">
      <c r="A530" s="140"/>
      <c r="H530" s="140"/>
      <c r="J530" s="140"/>
      <c r="K530" s="163" t="s">
        <v>171</v>
      </c>
      <c r="O530" s="141">
        <v>30</v>
      </c>
      <c r="P530" s="141" t="str">
        <f>IF(AND(F258=1,U492=O530),R495,IF(AND(F258=1,U492=O530-1),S495,IF(AND(F258=1,U492&lt;O530),K529,K530)))</f>
        <v>01/11/10</v>
      </c>
      <c r="R530" s="141">
        <v>30</v>
      </c>
      <c r="T530" s="141">
        <f>VLOOKUP(R530,T308:U348,2,0)</f>
        <v>12910</v>
      </c>
    </row>
    <row r="531" spans="1:16" s="141" customFormat="1" ht="20.25" customHeight="1" hidden="1">
      <c r="A531" s="140"/>
      <c r="H531" s="140"/>
      <c r="J531" s="140"/>
      <c r="K531" s="163" t="s">
        <v>172</v>
      </c>
      <c r="O531" s="141">
        <v>31</v>
      </c>
      <c r="P531" s="141" t="str">
        <f>IF(AND(F258=1,U492=O531),R495,IF(AND(F258=1,U492=O531-1),S495,IF(AND(F258=1,U492&lt;O531),K530,K531)))</f>
        <v>01/12/10</v>
      </c>
    </row>
    <row r="532" spans="1:16" s="141" customFormat="1" ht="20.25" customHeight="1" hidden="1">
      <c r="A532" s="140"/>
      <c r="H532" s="140"/>
      <c r="J532" s="140"/>
      <c r="K532" s="163" t="s">
        <v>173</v>
      </c>
      <c r="O532" s="141">
        <v>32</v>
      </c>
      <c r="P532" s="141" t="str">
        <f>IF(AND(F258=1,U492=O532),R495,IF(AND(F258=1,U492=O532-1),S495,IF(AND(F258=1,U492&lt;O532),K531,K532)))</f>
        <v>01/01/11</v>
      </c>
    </row>
    <row r="533" spans="1:16" s="141" customFormat="1" ht="20.25" customHeight="1" hidden="1">
      <c r="A533" s="140"/>
      <c r="H533" s="140"/>
      <c r="J533" s="140"/>
      <c r="K533" s="163" t="s">
        <v>174</v>
      </c>
      <c r="O533" s="141">
        <v>33</v>
      </c>
      <c r="P533" s="141" t="str">
        <f>IF(AND(F258=1,U492=O533),R495,IF(AND(F258=1,U492=O533-1),S495,IF(AND(F258=1,U492&lt;O533),K532,K533)))</f>
        <v>01/02/11</v>
      </c>
    </row>
    <row r="534" spans="1:16" s="141" customFormat="1" ht="20.25" customHeight="1" hidden="1">
      <c r="A534" s="140"/>
      <c r="H534" s="140"/>
      <c r="J534" s="140"/>
      <c r="K534" s="163" t="s">
        <v>175</v>
      </c>
      <c r="O534" s="141">
        <v>34</v>
      </c>
      <c r="P534" s="141" t="str">
        <f>IF(AND(F258=1,U492=O534),R495,IF(AND(F258=1,U492=O534-1),S495,IF(AND(F258=1,U492&lt;O534),K533,K534)))</f>
        <v>01/03/11</v>
      </c>
    </row>
    <row r="535" spans="1:16" s="141" customFormat="1" ht="20.25" customHeight="1" hidden="1">
      <c r="A535" s="140"/>
      <c r="H535" s="140"/>
      <c r="J535" s="140"/>
      <c r="K535" s="163" t="s">
        <v>176</v>
      </c>
      <c r="O535" s="141">
        <v>35</v>
      </c>
      <c r="P535" s="141" t="str">
        <f>IF(AND(F258=1,U492=O535),R495,IF(AND(F258=1,U492=O535-1),S495,IF(AND(F258=1,U492&lt;O535),K534,K535)))</f>
        <v>01/04/11</v>
      </c>
    </row>
    <row r="536" spans="1:16" s="141" customFormat="1" ht="20.25" customHeight="1" hidden="1">
      <c r="A536" s="140"/>
      <c r="H536" s="140"/>
      <c r="J536" s="140"/>
      <c r="K536" s="163" t="s">
        <v>177</v>
      </c>
      <c r="O536" s="141">
        <v>36</v>
      </c>
      <c r="P536" s="141" t="str">
        <f>IF(AND(F258=1,U492=O536),R495,IF(AND(F258=1,U492=O536-1),S495,IF(AND(F258=1,U492&lt;O536),K535,K536)))</f>
        <v>01/05/11</v>
      </c>
    </row>
    <row r="537" spans="1:16" s="141" customFormat="1" ht="20.25" customHeight="1" hidden="1">
      <c r="A537" s="140"/>
      <c r="H537" s="140"/>
      <c r="J537" s="140"/>
      <c r="K537" s="163" t="s">
        <v>178</v>
      </c>
      <c r="O537" s="141">
        <v>37</v>
      </c>
      <c r="P537" s="141" t="str">
        <f>IF(AND(F258=1,U492=O537),R495,IF(AND(F258=1,U492=O537-1),S495,IF(AND(F258=1,U492&lt;O537),K536,K537)))</f>
        <v>01/06/11</v>
      </c>
    </row>
    <row r="538" spans="1:11" s="141" customFormat="1" ht="20.25" customHeight="1" hidden="1">
      <c r="A538" s="140"/>
      <c r="H538" s="140"/>
      <c r="J538" s="140"/>
      <c r="K538" s="163" t="s">
        <v>179</v>
      </c>
    </row>
    <row r="539" spans="1:10" s="141" customFormat="1" ht="20.25" customHeight="1" hidden="1">
      <c r="A539" s="140"/>
      <c r="H539" s="140"/>
      <c r="J539" s="140"/>
    </row>
    <row r="540" spans="1:10" s="141" customFormat="1" ht="20.25" customHeight="1" hidden="1">
      <c r="A540" s="140"/>
      <c r="H540" s="140"/>
      <c r="J540" s="140"/>
    </row>
    <row r="541" spans="1:10" s="141" customFormat="1" ht="20.25" customHeight="1" hidden="1">
      <c r="A541" s="140"/>
      <c r="H541" s="140"/>
      <c r="J541" s="140"/>
    </row>
    <row r="542" spans="1:10" s="141" customFormat="1" ht="20.25" customHeight="1" hidden="1">
      <c r="A542" s="140"/>
      <c r="H542" s="140"/>
      <c r="J542" s="140"/>
    </row>
    <row r="543" spans="1:10" s="141" customFormat="1" ht="20.25" customHeight="1" hidden="1">
      <c r="A543" s="140"/>
      <c r="H543" s="140"/>
      <c r="J543" s="140"/>
    </row>
    <row r="544" spans="1:10" s="141" customFormat="1" ht="20.25" customHeight="1" hidden="1">
      <c r="A544" s="140"/>
      <c r="H544" s="140"/>
      <c r="J544" s="140"/>
    </row>
    <row r="545" spans="1:10" s="141" customFormat="1" ht="20.25" customHeight="1" hidden="1">
      <c r="A545" s="140"/>
      <c r="H545" s="140"/>
      <c r="J545" s="140"/>
    </row>
    <row r="546" spans="1:10" s="141" customFormat="1" ht="20.25" customHeight="1" hidden="1">
      <c r="A546" s="140"/>
      <c r="H546" s="140"/>
      <c r="J546" s="140"/>
    </row>
    <row r="547" spans="1:10" s="141" customFormat="1" ht="20.25" customHeight="1" hidden="1">
      <c r="A547" s="140"/>
      <c r="H547" s="140"/>
      <c r="J547" s="140"/>
    </row>
    <row r="548" spans="1:10" s="141" customFormat="1" ht="20.25" customHeight="1" hidden="1">
      <c r="A548" s="140"/>
      <c r="H548" s="140"/>
      <c r="J548" s="140"/>
    </row>
    <row r="549" spans="1:10" s="141" customFormat="1" ht="20.25" customHeight="1" hidden="1">
      <c r="A549" s="140"/>
      <c r="H549" s="140"/>
      <c r="J549" s="140"/>
    </row>
    <row r="550" spans="1:10" s="141" customFormat="1" ht="20.25" customHeight="1" hidden="1">
      <c r="A550" s="140"/>
      <c r="H550" s="140"/>
      <c r="J550" s="140"/>
    </row>
    <row r="551" spans="1:10" s="141" customFormat="1" ht="20.25" customHeight="1" hidden="1">
      <c r="A551" s="140"/>
      <c r="H551" s="140"/>
      <c r="J551" s="140"/>
    </row>
    <row r="552" spans="1:10" s="141" customFormat="1" ht="20.25" customHeight="1" hidden="1">
      <c r="A552" s="140"/>
      <c r="H552" s="140"/>
      <c r="J552" s="140"/>
    </row>
    <row r="553" spans="1:10" s="141" customFormat="1" ht="20.25" customHeight="1" hidden="1">
      <c r="A553" s="140"/>
      <c r="H553" s="140"/>
      <c r="J553" s="140"/>
    </row>
    <row r="554" spans="1:10" s="141" customFormat="1" ht="20.25" customHeight="1" hidden="1">
      <c r="A554" s="140"/>
      <c r="H554" s="140"/>
      <c r="J554" s="140"/>
    </row>
    <row r="555" spans="1:10" s="141" customFormat="1" ht="20.25" customHeight="1" hidden="1">
      <c r="A555" s="140"/>
      <c r="H555" s="140"/>
      <c r="J555" s="140"/>
    </row>
    <row r="556" spans="1:10" s="141" customFormat="1" ht="20.25" customHeight="1" hidden="1">
      <c r="A556" s="140"/>
      <c r="H556" s="140"/>
      <c r="J556" s="140"/>
    </row>
    <row r="557" spans="1:10" s="141" customFormat="1" ht="20.25" customHeight="1" hidden="1">
      <c r="A557" s="140"/>
      <c r="H557" s="140"/>
      <c r="J557" s="140"/>
    </row>
    <row r="558" spans="1:10" s="141" customFormat="1" ht="20.25" customHeight="1" hidden="1">
      <c r="A558" s="140"/>
      <c r="H558" s="140"/>
      <c r="J558" s="140"/>
    </row>
    <row r="559" spans="1:10" s="141" customFormat="1" ht="20.25" customHeight="1" hidden="1">
      <c r="A559" s="140"/>
      <c r="H559" s="140"/>
      <c r="J559" s="140"/>
    </row>
    <row r="560" spans="1:10" s="141" customFormat="1" ht="20.25" customHeight="1" hidden="1">
      <c r="A560" s="140"/>
      <c r="H560" s="140"/>
      <c r="J560" s="140"/>
    </row>
    <row r="561" spans="1:10" s="141" customFormat="1" ht="20.25" customHeight="1" hidden="1">
      <c r="A561" s="140"/>
      <c r="H561" s="140"/>
      <c r="J561" s="140"/>
    </row>
    <row r="562" spans="1:10" s="141" customFormat="1" ht="20.25" customHeight="1" hidden="1">
      <c r="A562" s="140"/>
      <c r="H562" s="140"/>
      <c r="J562" s="140"/>
    </row>
    <row r="563" spans="1:10" s="141" customFormat="1" ht="20.25" customHeight="1" hidden="1">
      <c r="A563" s="140"/>
      <c r="H563" s="140"/>
      <c r="J563" s="140"/>
    </row>
    <row r="564" spans="1:10" s="141" customFormat="1" ht="20.25" customHeight="1" hidden="1">
      <c r="A564" s="140"/>
      <c r="H564" s="140"/>
      <c r="J564" s="140"/>
    </row>
    <row r="565" spans="1:10" s="141" customFormat="1" ht="20.25" customHeight="1" hidden="1">
      <c r="A565" s="140"/>
      <c r="H565" s="140"/>
      <c r="J565" s="140"/>
    </row>
    <row r="566" spans="1:10" s="141" customFormat="1" ht="20.25" customHeight="1" hidden="1">
      <c r="A566" s="140"/>
      <c r="H566" s="140"/>
      <c r="J566" s="140"/>
    </row>
    <row r="567" spans="1:10" s="141" customFormat="1" ht="20.25" customHeight="1" hidden="1">
      <c r="A567" s="140"/>
      <c r="H567" s="140"/>
      <c r="J567" s="140"/>
    </row>
    <row r="568" spans="1:10" s="141" customFormat="1" ht="20.25" customHeight="1" hidden="1">
      <c r="A568" s="140"/>
      <c r="H568" s="140"/>
      <c r="J568" s="140"/>
    </row>
    <row r="569" spans="1:10" s="141" customFormat="1" ht="20.25" customHeight="1" hidden="1">
      <c r="A569" s="140"/>
      <c r="H569" s="140"/>
      <c r="J569" s="140"/>
    </row>
    <row r="570" spans="1:10" s="141" customFormat="1" ht="20.25" customHeight="1" hidden="1">
      <c r="A570" s="140"/>
      <c r="H570" s="140"/>
      <c r="J570" s="140"/>
    </row>
    <row r="571" spans="1:10" s="141" customFormat="1" ht="20.25" customHeight="1" hidden="1">
      <c r="A571" s="140"/>
      <c r="H571" s="140"/>
      <c r="J571" s="140"/>
    </row>
    <row r="572" spans="1:10" s="141" customFormat="1" ht="20.25" customHeight="1" hidden="1">
      <c r="A572" s="140"/>
      <c r="H572" s="140"/>
      <c r="J572" s="140"/>
    </row>
    <row r="573" spans="1:10" s="141" customFormat="1" ht="20.25" customHeight="1" hidden="1">
      <c r="A573" s="140"/>
      <c r="H573" s="140"/>
      <c r="J573" s="140"/>
    </row>
    <row r="574" spans="1:10" s="141" customFormat="1" ht="20.25" customHeight="1" hidden="1">
      <c r="A574" s="140"/>
      <c r="H574" s="140"/>
      <c r="J574" s="140"/>
    </row>
    <row r="575" spans="1:10" s="141" customFormat="1" ht="20.25" customHeight="1" hidden="1">
      <c r="A575" s="140"/>
      <c r="H575" s="140"/>
      <c r="J575" s="140"/>
    </row>
    <row r="576" spans="1:10" s="141" customFormat="1" ht="20.25" customHeight="1" hidden="1">
      <c r="A576" s="140"/>
      <c r="H576" s="140"/>
      <c r="J576" s="140"/>
    </row>
    <row r="577" spans="1:10" s="141" customFormat="1" ht="20.25" customHeight="1" hidden="1">
      <c r="A577" s="140"/>
      <c r="H577" s="140"/>
      <c r="J577" s="140"/>
    </row>
    <row r="578" spans="1:10" s="141" customFormat="1" ht="20.25" customHeight="1" hidden="1">
      <c r="A578" s="140"/>
      <c r="H578" s="140"/>
      <c r="J578" s="140"/>
    </row>
    <row r="579" spans="1:10" s="141" customFormat="1" ht="20.25" customHeight="1" hidden="1">
      <c r="A579" s="140"/>
      <c r="H579" s="140"/>
      <c r="J579" s="140"/>
    </row>
    <row r="580" spans="1:10" s="141" customFormat="1" ht="20.25" customHeight="1" hidden="1">
      <c r="A580" s="140"/>
      <c r="H580" s="140"/>
      <c r="J580" s="140"/>
    </row>
    <row r="581" spans="1:10" s="141" customFormat="1" ht="20.25" customHeight="1" hidden="1">
      <c r="A581" s="140"/>
      <c r="H581" s="140"/>
      <c r="J581" s="140"/>
    </row>
    <row r="582" spans="1:10" s="141" customFormat="1" ht="20.25" customHeight="1" hidden="1">
      <c r="A582" s="140"/>
      <c r="H582" s="140"/>
      <c r="J582" s="140"/>
    </row>
    <row r="583" spans="1:10" s="141" customFormat="1" ht="20.25" customHeight="1" hidden="1">
      <c r="A583" s="140"/>
      <c r="H583" s="140"/>
      <c r="J583" s="140"/>
    </row>
    <row r="584" spans="1:10" s="141" customFormat="1" ht="20.25" customHeight="1" hidden="1">
      <c r="A584" s="140"/>
      <c r="H584" s="140"/>
      <c r="J584" s="140"/>
    </row>
    <row r="585" spans="1:10" s="141" customFormat="1" ht="20.25" customHeight="1" hidden="1">
      <c r="A585" s="140"/>
      <c r="H585" s="140"/>
      <c r="J585" s="140"/>
    </row>
    <row r="586" spans="1:10" s="141" customFormat="1" ht="20.25" customHeight="1" hidden="1">
      <c r="A586" s="140"/>
      <c r="H586" s="140"/>
      <c r="J586" s="140"/>
    </row>
    <row r="587" spans="1:10" s="141" customFormat="1" ht="20.25" customHeight="1" hidden="1">
      <c r="A587" s="140"/>
      <c r="H587" s="140"/>
      <c r="J587" s="140"/>
    </row>
    <row r="588" spans="1:10" s="141" customFormat="1" ht="20.25" customHeight="1" hidden="1">
      <c r="A588" s="140"/>
      <c r="H588" s="140"/>
      <c r="J588" s="140"/>
    </row>
    <row r="589" spans="1:10" s="141" customFormat="1" ht="20.25" customHeight="1" hidden="1">
      <c r="A589" s="140"/>
      <c r="H589" s="140"/>
      <c r="J589" s="140"/>
    </row>
    <row r="590" spans="1:10" s="141" customFormat="1" ht="20.25" customHeight="1" hidden="1">
      <c r="A590" s="140"/>
      <c r="H590" s="140"/>
      <c r="J590" s="140"/>
    </row>
    <row r="591" spans="1:10" s="141" customFormat="1" ht="20.25" customHeight="1" hidden="1">
      <c r="A591" s="140"/>
      <c r="H591" s="140"/>
      <c r="J591" s="140"/>
    </row>
    <row r="592" spans="1:10" s="141" customFormat="1" ht="20.25" customHeight="1" hidden="1">
      <c r="A592" s="140"/>
      <c r="H592" s="140"/>
      <c r="J592" s="140"/>
    </row>
    <row r="593" spans="1:10" s="141" customFormat="1" ht="20.25" customHeight="1" hidden="1">
      <c r="A593" s="140"/>
      <c r="H593" s="140"/>
      <c r="J593" s="140"/>
    </row>
    <row r="594" spans="1:10" s="141" customFormat="1" ht="20.25" customHeight="1" hidden="1">
      <c r="A594" s="140"/>
      <c r="H594" s="140"/>
      <c r="J594" s="140"/>
    </row>
    <row r="595" spans="1:10" s="141" customFormat="1" ht="20.25" customHeight="1" hidden="1">
      <c r="A595" s="140"/>
      <c r="H595" s="140"/>
      <c r="J595" s="140"/>
    </row>
    <row r="596" spans="1:10" s="141" customFormat="1" ht="20.25" customHeight="1" hidden="1">
      <c r="A596" s="140"/>
      <c r="H596" s="140"/>
      <c r="J596" s="140"/>
    </row>
    <row r="597" spans="1:10" s="141" customFormat="1" ht="20.25" customHeight="1" hidden="1">
      <c r="A597" s="140"/>
      <c r="H597" s="140"/>
      <c r="J597" s="140"/>
    </row>
    <row r="598" spans="1:10" s="141" customFormat="1" ht="20.25" customHeight="1" hidden="1">
      <c r="A598" s="140"/>
      <c r="H598" s="140"/>
      <c r="J598" s="140"/>
    </row>
    <row r="599" spans="1:10" s="141" customFormat="1" ht="20.25" customHeight="1" hidden="1">
      <c r="A599" s="140"/>
      <c r="H599" s="140"/>
      <c r="J599" s="140"/>
    </row>
    <row r="600" spans="1:10" s="141" customFormat="1" ht="20.25" customHeight="1" hidden="1">
      <c r="A600" s="140"/>
      <c r="H600" s="140"/>
      <c r="J600" s="140"/>
    </row>
    <row r="601" spans="1:10" s="141" customFormat="1" ht="20.25" customHeight="1" hidden="1">
      <c r="A601" s="140"/>
      <c r="H601" s="140"/>
      <c r="J601" s="140"/>
    </row>
    <row r="602" spans="1:10" s="141" customFormat="1" ht="20.25" customHeight="1" hidden="1">
      <c r="A602" s="140"/>
      <c r="H602" s="140"/>
      <c r="J602" s="140"/>
    </row>
    <row r="603" spans="1:10" s="141" customFormat="1" ht="20.25" customHeight="1" hidden="1">
      <c r="A603" s="140"/>
      <c r="H603" s="140"/>
      <c r="J603" s="140"/>
    </row>
    <row r="604" spans="1:10" s="141" customFormat="1" ht="20.25" customHeight="1" hidden="1">
      <c r="A604" s="140"/>
      <c r="H604" s="140"/>
      <c r="J604" s="140"/>
    </row>
    <row r="605" spans="1:10" s="141" customFormat="1" ht="20.25" customHeight="1" hidden="1">
      <c r="A605" s="140"/>
      <c r="H605" s="140"/>
      <c r="J605" s="140"/>
    </row>
    <row r="606" spans="1:10" s="141" customFormat="1" ht="20.25" customHeight="1" hidden="1">
      <c r="A606" s="140"/>
      <c r="H606" s="140"/>
      <c r="J606" s="140"/>
    </row>
    <row r="607" spans="1:10" s="141" customFormat="1" ht="20.25" customHeight="1" hidden="1">
      <c r="A607" s="140"/>
      <c r="H607" s="140"/>
      <c r="J607" s="140"/>
    </row>
    <row r="608" spans="1:10" s="141" customFormat="1" ht="20.25" customHeight="1" hidden="1">
      <c r="A608" s="140"/>
      <c r="H608" s="140"/>
      <c r="J608" s="140"/>
    </row>
    <row r="609" spans="1:10" s="141" customFormat="1" ht="20.25" customHeight="1" hidden="1">
      <c r="A609" s="140"/>
      <c r="H609" s="140"/>
      <c r="J609" s="140"/>
    </row>
    <row r="610" spans="1:10" s="141" customFormat="1" ht="20.25" customHeight="1" hidden="1">
      <c r="A610" s="140"/>
      <c r="H610" s="140"/>
      <c r="J610" s="140"/>
    </row>
    <row r="611" spans="1:10" s="141" customFormat="1" ht="20.25" customHeight="1" hidden="1">
      <c r="A611" s="140"/>
      <c r="H611" s="140"/>
      <c r="J611" s="140"/>
    </row>
    <row r="612" spans="1:10" s="141" customFormat="1" ht="20.25" customHeight="1" hidden="1">
      <c r="A612" s="140"/>
      <c r="H612" s="140"/>
      <c r="J612" s="140"/>
    </row>
    <row r="613" spans="1:10" s="141" customFormat="1" ht="20.25" customHeight="1" hidden="1">
      <c r="A613" s="140"/>
      <c r="H613" s="140"/>
      <c r="J613" s="140"/>
    </row>
    <row r="614" spans="1:10" s="141" customFormat="1" ht="20.25" customHeight="1" hidden="1">
      <c r="A614" s="140"/>
      <c r="H614" s="140"/>
      <c r="J614" s="140"/>
    </row>
    <row r="615" spans="1:10" s="141" customFormat="1" ht="20.25" customHeight="1" hidden="1">
      <c r="A615" s="140"/>
      <c r="H615" s="140"/>
      <c r="J615" s="140"/>
    </row>
    <row r="616" spans="1:10" s="141" customFormat="1" ht="20.25" customHeight="1" hidden="1">
      <c r="A616" s="140"/>
      <c r="H616" s="140"/>
      <c r="J616" s="140"/>
    </row>
    <row r="617" spans="1:10" s="141" customFormat="1" ht="20.25" customHeight="1" hidden="1">
      <c r="A617" s="140"/>
      <c r="H617" s="140"/>
      <c r="J617" s="140"/>
    </row>
    <row r="618" spans="1:10" s="141" customFormat="1" ht="20.25" customHeight="1" hidden="1">
      <c r="A618" s="140"/>
      <c r="H618" s="140"/>
      <c r="J618" s="140"/>
    </row>
    <row r="619" spans="1:10" s="141" customFormat="1" ht="20.25" customHeight="1" hidden="1">
      <c r="A619" s="140"/>
      <c r="H619" s="140"/>
      <c r="J619" s="140"/>
    </row>
    <row r="620" spans="1:10" s="141" customFormat="1" ht="20.25" customHeight="1" hidden="1">
      <c r="A620" s="140"/>
      <c r="H620" s="140"/>
      <c r="J620" s="140"/>
    </row>
    <row r="621" spans="1:10" s="141" customFormat="1" ht="20.25" customHeight="1" hidden="1">
      <c r="A621" s="140"/>
      <c r="H621" s="140"/>
      <c r="J621" s="140"/>
    </row>
    <row r="622" spans="1:10" s="141" customFormat="1" ht="20.25" customHeight="1" hidden="1">
      <c r="A622" s="140"/>
      <c r="H622" s="140"/>
      <c r="J622" s="140"/>
    </row>
    <row r="623" spans="1:10" s="141" customFormat="1" ht="20.25" customHeight="1" hidden="1">
      <c r="A623" s="140"/>
      <c r="H623" s="140"/>
      <c r="J623" s="140"/>
    </row>
    <row r="624" spans="1:10" s="141" customFormat="1" ht="20.25" customHeight="1" hidden="1">
      <c r="A624" s="140"/>
      <c r="H624" s="140"/>
      <c r="J624" s="140"/>
    </row>
    <row r="625" spans="1:10" s="141" customFormat="1" ht="20.25" customHeight="1" hidden="1">
      <c r="A625" s="140"/>
      <c r="H625" s="140"/>
      <c r="J625" s="140"/>
    </row>
    <row r="626" spans="1:10" s="141" customFormat="1" ht="20.25" customHeight="1" hidden="1">
      <c r="A626" s="140"/>
      <c r="H626" s="140"/>
      <c r="J626" s="140"/>
    </row>
    <row r="627" spans="1:10" s="141" customFormat="1" ht="20.25" customHeight="1" hidden="1">
      <c r="A627" s="140"/>
      <c r="H627" s="140"/>
      <c r="J627" s="140"/>
    </row>
    <row r="628" spans="1:10" s="141" customFormat="1" ht="20.25" customHeight="1" hidden="1">
      <c r="A628" s="140"/>
      <c r="H628" s="140"/>
      <c r="J628" s="140"/>
    </row>
    <row r="629" spans="1:10" s="141" customFormat="1" ht="20.25" customHeight="1" hidden="1">
      <c r="A629" s="140"/>
      <c r="H629" s="140"/>
      <c r="J629" s="140"/>
    </row>
    <row r="630" spans="1:10" s="141" customFormat="1" ht="20.25" customHeight="1" hidden="1">
      <c r="A630" s="140"/>
      <c r="H630" s="140"/>
      <c r="J630" s="140"/>
    </row>
    <row r="631" spans="1:10" s="141" customFormat="1" ht="20.25" customHeight="1" hidden="1">
      <c r="A631" s="140"/>
      <c r="H631" s="140"/>
      <c r="J631" s="140"/>
    </row>
    <row r="632" spans="1:10" s="141" customFormat="1" ht="20.25" customHeight="1" hidden="1">
      <c r="A632" s="140"/>
      <c r="H632" s="140"/>
      <c r="J632" s="140"/>
    </row>
    <row r="633" spans="1:10" s="141" customFormat="1" ht="20.25" customHeight="1" hidden="1">
      <c r="A633" s="140"/>
      <c r="H633" s="140"/>
      <c r="J633" s="140"/>
    </row>
    <row r="634" spans="1:10" s="141" customFormat="1" ht="20.25" customHeight="1" hidden="1">
      <c r="A634" s="140"/>
      <c r="H634" s="140"/>
      <c r="J634" s="140"/>
    </row>
    <row r="635" spans="1:10" s="141" customFormat="1" ht="20.25" customHeight="1" hidden="1">
      <c r="A635" s="140"/>
      <c r="H635" s="140"/>
      <c r="J635" s="140"/>
    </row>
    <row r="636" spans="1:10" s="141" customFormat="1" ht="20.25" customHeight="1" hidden="1">
      <c r="A636" s="140"/>
      <c r="H636" s="140"/>
      <c r="J636" s="140"/>
    </row>
    <row r="637" spans="1:10" s="141" customFormat="1" ht="20.25" customHeight="1" hidden="1">
      <c r="A637" s="140"/>
      <c r="H637" s="140"/>
      <c r="J637" s="140"/>
    </row>
    <row r="638" spans="1:10" s="141" customFormat="1" ht="20.25" customHeight="1" hidden="1">
      <c r="A638" s="140"/>
      <c r="H638" s="140"/>
      <c r="J638" s="140"/>
    </row>
    <row r="639" spans="1:10" s="141" customFormat="1" ht="20.25" customHeight="1" hidden="1">
      <c r="A639" s="140"/>
      <c r="H639" s="140"/>
      <c r="J639" s="140"/>
    </row>
    <row r="640" spans="1:10" s="141" customFormat="1" ht="20.25" customHeight="1" hidden="1">
      <c r="A640" s="140"/>
      <c r="H640" s="140"/>
      <c r="J640" s="140"/>
    </row>
    <row r="641" spans="1:10" s="141" customFormat="1" ht="20.25" customHeight="1" hidden="1">
      <c r="A641" s="140"/>
      <c r="H641" s="140"/>
      <c r="J641" s="140"/>
    </row>
    <row r="642" spans="1:10" s="141" customFormat="1" ht="20.25" customHeight="1" hidden="1">
      <c r="A642" s="140"/>
      <c r="H642" s="140"/>
      <c r="J642" s="140"/>
    </row>
    <row r="643" spans="1:10" s="141" customFormat="1" ht="20.25" customHeight="1" hidden="1">
      <c r="A643" s="140"/>
      <c r="H643" s="140"/>
      <c r="J643" s="140"/>
    </row>
    <row r="644" spans="1:10" s="141" customFormat="1" ht="20.25" customHeight="1" hidden="1">
      <c r="A644" s="140"/>
      <c r="H644" s="140"/>
      <c r="J644" s="140"/>
    </row>
    <row r="645" spans="1:10" s="141" customFormat="1" ht="20.25" customHeight="1" hidden="1">
      <c r="A645" s="140"/>
      <c r="H645" s="140"/>
      <c r="J645" s="140"/>
    </row>
    <row r="646" spans="1:10" s="141" customFormat="1" ht="20.25" customHeight="1" hidden="1">
      <c r="A646" s="140"/>
      <c r="H646" s="140"/>
      <c r="J646" s="140"/>
    </row>
    <row r="647" spans="1:10" s="141" customFormat="1" ht="20.25" customHeight="1" hidden="1">
      <c r="A647" s="140"/>
      <c r="H647" s="140"/>
      <c r="J647" s="140"/>
    </row>
    <row r="648" spans="1:10" s="141" customFormat="1" ht="20.25" customHeight="1" hidden="1">
      <c r="A648" s="140"/>
      <c r="H648" s="140"/>
      <c r="J648" s="140"/>
    </row>
    <row r="649" spans="1:10" s="141" customFormat="1" ht="20.25" customHeight="1" hidden="1">
      <c r="A649" s="140"/>
      <c r="H649" s="140"/>
      <c r="J649" s="140"/>
    </row>
    <row r="650" spans="1:10" s="141" customFormat="1" ht="20.25" customHeight="1" hidden="1">
      <c r="A650" s="140"/>
      <c r="H650" s="140"/>
      <c r="J650" s="140"/>
    </row>
    <row r="651" spans="1:10" s="141" customFormat="1" ht="20.25" customHeight="1" hidden="1">
      <c r="A651" s="140"/>
      <c r="H651" s="140"/>
      <c r="J651" s="140"/>
    </row>
    <row r="652" spans="1:10" s="141" customFormat="1" ht="20.25" customHeight="1" hidden="1">
      <c r="A652" s="140"/>
      <c r="H652" s="140"/>
      <c r="J652" s="140"/>
    </row>
    <row r="653" spans="1:10" s="141" customFormat="1" ht="20.25" customHeight="1" hidden="1">
      <c r="A653" s="140"/>
      <c r="H653" s="140"/>
      <c r="J653" s="140"/>
    </row>
    <row r="654" spans="1:10" s="141" customFormat="1" ht="20.25" customHeight="1" hidden="1">
      <c r="A654" s="140"/>
      <c r="H654" s="140"/>
      <c r="J654" s="140"/>
    </row>
    <row r="655" spans="1:10" s="141" customFormat="1" ht="20.25" customHeight="1" hidden="1">
      <c r="A655" s="140"/>
      <c r="H655" s="140"/>
      <c r="J655" s="140"/>
    </row>
    <row r="656" spans="1:10" s="141" customFormat="1" ht="20.25" customHeight="1" hidden="1">
      <c r="A656" s="140"/>
      <c r="H656" s="140"/>
      <c r="J656" s="140"/>
    </row>
    <row r="657" spans="1:10" s="141" customFormat="1" ht="20.25" customHeight="1" hidden="1">
      <c r="A657" s="140"/>
      <c r="H657" s="140"/>
      <c r="J657" s="140"/>
    </row>
    <row r="658" spans="1:10" s="141" customFormat="1" ht="20.25" customHeight="1" hidden="1">
      <c r="A658" s="140"/>
      <c r="H658" s="140"/>
      <c r="J658" s="140"/>
    </row>
    <row r="659" spans="1:10" s="141" customFormat="1" ht="20.25" customHeight="1" hidden="1">
      <c r="A659" s="140"/>
      <c r="H659" s="140"/>
      <c r="J659" s="140"/>
    </row>
    <row r="660" spans="1:10" s="141" customFormat="1" ht="20.25" customHeight="1" hidden="1">
      <c r="A660" s="140"/>
      <c r="H660" s="140"/>
      <c r="J660" s="140"/>
    </row>
    <row r="661" spans="1:10" s="141" customFormat="1" ht="20.25" customHeight="1" hidden="1">
      <c r="A661" s="140"/>
      <c r="H661" s="140"/>
      <c r="J661" s="140"/>
    </row>
    <row r="662" spans="1:10" s="141" customFormat="1" ht="20.25" customHeight="1" hidden="1">
      <c r="A662" s="140"/>
      <c r="H662" s="140"/>
      <c r="J662" s="140"/>
    </row>
    <row r="663" spans="1:10" s="141" customFormat="1" ht="20.25" customHeight="1" hidden="1">
      <c r="A663" s="140"/>
      <c r="H663" s="140"/>
      <c r="J663" s="140"/>
    </row>
    <row r="664" spans="1:10" s="141" customFormat="1" ht="20.25" customHeight="1" hidden="1">
      <c r="A664" s="140"/>
      <c r="H664" s="140"/>
      <c r="J664" s="140"/>
    </row>
    <row r="665" spans="1:10" s="141" customFormat="1" ht="20.25" customHeight="1" hidden="1">
      <c r="A665" s="140"/>
      <c r="H665" s="140"/>
      <c r="J665" s="140"/>
    </row>
    <row r="666" spans="1:10" s="141" customFormat="1" ht="20.25" customHeight="1" hidden="1">
      <c r="A666" s="140"/>
      <c r="H666" s="140"/>
      <c r="J666" s="140"/>
    </row>
    <row r="667" spans="1:10" s="141" customFormat="1" ht="20.25" customHeight="1" hidden="1">
      <c r="A667" s="140"/>
      <c r="H667" s="140"/>
      <c r="J667" s="140"/>
    </row>
    <row r="668" spans="1:10" s="141" customFormat="1" ht="20.25" customHeight="1" hidden="1">
      <c r="A668" s="140"/>
      <c r="H668" s="140"/>
      <c r="J668" s="140"/>
    </row>
    <row r="669" spans="1:10" s="141" customFormat="1" ht="20.25" customHeight="1" hidden="1">
      <c r="A669" s="140"/>
      <c r="H669" s="140"/>
      <c r="J669" s="140"/>
    </row>
    <row r="670" spans="1:10" s="141" customFormat="1" ht="20.25" customHeight="1" hidden="1">
      <c r="A670" s="140"/>
      <c r="H670" s="140"/>
      <c r="J670" s="140"/>
    </row>
    <row r="671" spans="1:10" s="141" customFormat="1" ht="20.25" customHeight="1" hidden="1">
      <c r="A671" s="140"/>
      <c r="H671" s="140"/>
      <c r="J671" s="140"/>
    </row>
    <row r="672" spans="1:10" s="141" customFormat="1" ht="20.25" customHeight="1" hidden="1">
      <c r="A672" s="140"/>
      <c r="H672" s="140"/>
      <c r="J672" s="140"/>
    </row>
    <row r="673" spans="1:10" s="141" customFormat="1" ht="20.25" customHeight="1" hidden="1">
      <c r="A673" s="140"/>
      <c r="H673" s="140"/>
      <c r="J673" s="140"/>
    </row>
    <row r="674" spans="1:10" s="141" customFormat="1" ht="20.25" customHeight="1" hidden="1">
      <c r="A674" s="140"/>
      <c r="H674" s="140"/>
      <c r="J674" s="140"/>
    </row>
    <row r="675" spans="1:10" s="141" customFormat="1" ht="20.25" customHeight="1" hidden="1">
      <c r="A675" s="140"/>
      <c r="H675" s="140"/>
      <c r="J675" s="140"/>
    </row>
    <row r="676" spans="1:10" s="141" customFormat="1" ht="20.25" customHeight="1" hidden="1">
      <c r="A676" s="140"/>
      <c r="H676" s="140"/>
      <c r="J676" s="140"/>
    </row>
    <row r="677" spans="1:10" s="141" customFormat="1" ht="20.25" customHeight="1" hidden="1">
      <c r="A677" s="140"/>
      <c r="H677" s="140"/>
      <c r="J677" s="140"/>
    </row>
    <row r="678" spans="1:10" s="141" customFormat="1" ht="20.25" customHeight="1" hidden="1">
      <c r="A678" s="140"/>
      <c r="H678" s="140"/>
      <c r="J678" s="140"/>
    </row>
    <row r="679" spans="1:10" s="141" customFormat="1" ht="20.25" customHeight="1" hidden="1">
      <c r="A679" s="140"/>
      <c r="H679" s="140"/>
      <c r="J679" s="140"/>
    </row>
    <row r="680" spans="1:10" s="141" customFormat="1" ht="20.25" customHeight="1" hidden="1">
      <c r="A680" s="140"/>
      <c r="H680" s="140"/>
      <c r="J680" s="140"/>
    </row>
    <row r="681" spans="1:10" s="141" customFormat="1" ht="20.25" customHeight="1" hidden="1">
      <c r="A681" s="140"/>
      <c r="H681" s="140"/>
      <c r="J681" s="140"/>
    </row>
    <row r="682" spans="1:10" s="141" customFormat="1" ht="20.25" customHeight="1" hidden="1">
      <c r="A682" s="140"/>
      <c r="H682" s="140"/>
      <c r="J682" s="140"/>
    </row>
    <row r="683" spans="1:10" s="141" customFormat="1" ht="20.25" customHeight="1" hidden="1">
      <c r="A683" s="140"/>
      <c r="H683" s="140"/>
      <c r="J683" s="140"/>
    </row>
    <row r="684" spans="1:10" s="141" customFormat="1" ht="20.25" customHeight="1" hidden="1">
      <c r="A684" s="140"/>
      <c r="H684" s="140"/>
      <c r="J684" s="140"/>
    </row>
    <row r="685" spans="1:10" s="141" customFormat="1" ht="20.25" customHeight="1" hidden="1">
      <c r="A685" s="140"/>
      <c r="H685" s="140"/>
      <c r="J685" s="140"/>
    </row>
    <row r="686" spans="1:10" s="141" customFormat="1" ht="20.25" customHeight="1" hidden="1">
      <c r="A686" s="140"/>
      <c r="H686" s="140"/>
      <c r="J686" s="140"/>
    </row>
    <row r="687" spans="1:10" s="141" customFormat="1" ht="20.25" customHeight="1" hidden="1">
      <c r="A687" s="140"/>
      <c r="H687" s="140"/>
      <c r="J687" s="140"/>
    </row>
    <row r="688" spans="1:10" s="141" customFormat="1" ht="20.25" customHeight="1" hidden="1">
      <c r="A688" s="140"/>
      <c r="H688" s="140"/>
      <c r="J688" s="140"/>
    </row>
    <row r="689" spans="3:5" s="189" customFormat="1" ht="12.75" hidden="1">
      <c r="C689" s="190"/>
      <c r="E689" s="191"/>
    </row>
    <row r="690" spans="3:5" s="189" customFormat="1" ht="12.75" hidden="1">
      <c r="C690" s="190"/>
      <c r="E690" s="191"/>
    </row>
    <row r="691" spans="3:5" s="189" customFormat="1" ht="12.75" hidden="1">
      <c r="C691" s="190"/>
      <c r="E691" s="191"/>
    </row>
    <row r="692" spans="3:5" s="189" customFormat="1" ht="12.75" hidden="1">
      <c r="C692" s="190"/>
      <c r="E692" s="191"/>
    </row>
    <row r="693" spans="3:5" s="189" customFormat="1" ht="12.75" hidden="1">
      <c r="C693" s="190"/>
      <c r="E693" s="191"/>
    </row>
    <row r="694" spans="3:5" s="189" customFormat="1" ht="12.75" hidden="1">
      <c r="C694" s="190"/>
      <c r="E694" s="191"/>
    </row>
    <row r="695" s="192" customFormat="1" ht="12" customHeight="1" hidden="1"/>
    <row r="696" s="192" customFormat="1" ht="12" customHeight="1" hidden="1"/>
    <row r="697" spans="8:105" s="192" customFormat="1" ht="12" customHeight="1" hidden="1">
      <c r="H697" s="193"/>
      <c r="I697" s="193"/>
      <c r="J697" s="193"/>
      <c r="K697" s="193"/>
      <c r="L697" s="193"/>
      <c r="M697" s="193"/>
      <c r="N697" s="193"/>
      <c r="O697" s="193"/>
      <c r="P697" s="193"/>
      <c r="Q697" s="193"/>
      <c r="R697" s="193"/>
      <c r="S697" s="193"/>
      <c r="T697" s="193"/>
      <c r="U697" s="193"/>
      <c r="V697" s="193"/>
      <c r="W697" s="193"/>
      <c r="X697" s="193"/>
      <c r="Y697" s="193"/>
      <c r="Z697" s="193"/>
      <c r="AA697" s="193"/>
      <c r="AB697" s="193"/>
      <c r="AC697" s="193"/>
      <c r="AD697" s="193"/>
      <c r="AE697" s="193"/>
      <c r="AF697" s="193"/>
      <c r="AG697" s="193"/>
      <c r="AH697" s="193"/>
      <c r="AI697" s="193"/>
      <c r="AJ697" s="193"/>
      <c r="AK697" s="193"/>
      <c r="AL697" s="193"/>
      <c r="AM697" s="193"/>
      <c r="AN697" s="193"/>
      <c r="AO697" s="193"/>
      <c r="AP697" s="193"/>
      <c r="AQ697" s="193"/>
      <c r="AR697" s="193"/>
      <c r="AS697" s="193"/>
      <c r="AT697" s="193"/>
      <c r="AU697" s="193"/>
      <c r="AV697" s="193"/>
      <c r="AW697" s="193"/>
      <c r="AX697" s="193"/>
      <c r="AY697" s="193"/>
      <c r="AZ697" s="193"/>
      <c r="BA697" s="193"/>
      <c r="BB697" s="193"/>
      <c r="BC697" s="193"/>
      <c r="BD697" s="193"/>
      <c r="BE697" s="193"/>
      <c r="BF697" s="193"/>
      <c r="BG697" s="193"/>
      <c r="BH697" s="193"/>
      <c r="BI697" s="193"/>
      <c r="BJ697" s="193"/>
      <c r="BK697" s="193"/>
      <c r="BL697" s="193"/>
      <c r="BM697" s="193"/>
      <c r="BN697" s="193"/>
      <c r="BO697" s="193"/>
      <c r="BP697" s="193"/>
      <c r="BQ697" s="193"/>
      <c r="BR697" s="193"/>
      <c r="BS697" s="193"/>
      <c r="BT697" s="193"/>
      <c r="BU697" s="193"/>
      <c r="BV697" s="193"/>
      <c r="BW697" s="193"/>
      <c r="BX697" s="193"/>
      <c r="BY697" s="193"/>
      <c r="BZ697" s="193"/>
      <c r="CA697" s="193"/>
      <c r="CB697" s="193"/>
      <c r="CC697" s="193"/>
      <c r="CD697" s="193"/>
      <c r="CE697" s="193"/>
      <c r="CF697" s="193"/>
      <c r="CG697" s="193"/>
      <c r="CH697" s="193"/>
      <c r="CI697" s="193"/>
      <c r="CJ697" s="193"/>
      <c r="CK697" s="193"/>
      <c r="CL697" s="193"/>
      <c r="CM697" s="193"/>
      <c r="CN697" s="193"/>
      <c r="CO697" s="193"/>
      <c r="CP697" s="193"/>
      <c r="CQ697" s="193"/>
      <c r="CR697" s="193"/>
      <c r="CS697" s="193"/>
      <c r="CT697" s="193"/>
      <c r="CU697" s="193"/>
      <c r="CV697" s="193"/>
      <c r="CW697" s="193"/>
      <c r="CX697" s="193"/>
      <c r="CY697" s="193"/>
      <c r="CZ697" s="193"/>
      <c r="DA697" s="193"/>
    </row>
    <row r="698" s="192" customFormat="1" ht="12" customHeight="1" hidden="1"/>
    <row r="699" s="192" customFormat="1" ht="12" customHeight="1" hidden="1"/>
    <row r="700" spans="18:19" s="192" customFormat="1" ht="18.75" customHeight="1" hidden="1">
      <c r="R700" s="270"/>
      <c r="S700" s="270"/>
    </row>
    <row r="701" spans="1:19" s="192" customFormat="1" ht="12" customHeight="1" hidden="1">
      <c r="A701" s="194"/>
      <c r="R701" s="255"/>
      <c r="S701" s="255"/>
    </row>
    <row r="702" spans="1:19" s="192" customFormat="1" ht="17.25" customHeight="1" hidden="1">
      <c r="A702" s="194"/>
      <c r="R702" s="271"/>
      <c r="S702" s="271"/>
    </row>
    <row r="703" spans="1:19" s="192" customFormat="1" ht="17.25" customHeight="1" hidden="1">
      <c r="A703" s="194"/>
      <c r="R703" s="255"/>
      <c r="S703" s="256"/>
    </row>
    <row r="704" s="192" customFormat="1" ht="29.25" customHeight="1" hidden="1">
      <c r="A704" s="194"/>
    </row>
    <row r="705" s="192" customFormat="1" ht="15" customHeight="1" hidden="1"/>
    <row r="706" s="192" customFormat="1" ht="15" customHeight="1" hidden="1"/>
    <row r="707" s="192" customFormat="1" ht="15" customHeight="1" hidden="1"/>
    <row r="708" s="192" customFormat="1" ht="15" customHeight="1" hidden="1"/>
    <row r="709" spans="1:17" s="192" customFormat="1" ht="27.75" customHeight="1" hidden="1">
      <c r="A709" s="195"/>
      <c r="B709" s="196"/>
      <c r="C709" s="193"/>
      <c r="E709" s="193"/>
      <c r="F709" s="193"/>
      <c r="G709" s="193"/>
      <c r="H709" s="193"/>
      <c r="I709" s="193"/>
      <c r="J709" s="193"/>
      <c r="K709" s="193"/>
      <c r="L709" s="193"/>
      <c r="M709" s="193"/>
      <c r="N709" s="193"/>
      <c r="O709" s="193"/>
      <c r="P709" s="193"/>
      <c r="Q709" s="193"/>
    </row>
    <row r="710" spans="2:18" s="192" customFormat="1" ht="34.5" customHeight="1" hidden="1">
      <c r="B710" s="197">
        <f>'47 In'!Q18</f>
        <v>1365</v>
      </c>
      <c r="C710" s="196" t="str">
        <f>IF(B710="","",CONCATENATE("(",R710," rupees only)"))</f>
        <v>(One Thousand Three Hundred and Sixty five rupees only)</v>
      </c>
      <c r="D710" s="192">
        <f>INT(B710/100000)</f>
        <v>0</v>
      </c>
      <c r="E710" s="192">
        <f>INT(B710/1000-D710*100)</f>
        <v>1</v>
      </c>
      <c r="F710" s="192">
        <f>INT(B710/100-D710*1000-E710*10)</f>
        <v>3</v>
      </c>
      <c r="G710" s="192">
        <f>INT(B710-D710*100000-E710*1000-F710*100)</f>
        <v>65</v>
      </c>
      <c r="H710" s="192">
        <f>IF(D710=0,"",VLOOKUP(D710,B716:C814,2,0))</f>
      </c>
      <c r="I710" s="192" t="str">
        <f>IF(E710=0,"",VLOOKUP(E710,B716:C814,2,0))</f>
        <v>One</v>
      </c>
      <c r="J710" s="192" t="str">
        <f>IF(F710=0,"",VLOOKUP(F710,B716:C814,2,0))</f>
        <v>Three</v>
      </c>
      <c r="K710" s="192" t="str">
        <f>IF(G710=0,"",VLOOKUP(G710,B716:C814,2,0))</f>
        <v>Sixty five</v>
      </c>
      <c r="L710" s="192">
        <f>IF(AND(F710=0,G710=0),1,2)</f>
        <v>2</v>
      </c>
      <c r="M710" s="192">
        <f>IF(G710=0,3,4)</f>
        <v>4</v>
      </c>
      <c r="N710" s="192">
        <f>IF(OR(L710=1,M710=3),5,6)</f>
        <v>6</v>
      </c>
      <c r="O710" s="192">
        <f>IF(D710&gt;1," Lakhs ",IF(D710&gt;0," Lakh ",""))</f>
      </c>
      <c r="P710" s="192" t="str">
        <f>IF(E710&gt;0," Thousand ","")</f>
        <v> Thousand </v>
      </c>
      <c r="Q710" s="192" t="str">
        <f>IF(F710&gt;0," Hundred ","")</f>
        <v> Hundred </v>
      </c>
      <c r="R710" s="196" t="str">
        <f>IF(B710=0,"Zero",IF(B710&gt;0,TRIM(CONCATENATE(H710,O710,I710,P710,J710,Q710,IF(AND(B710&gt;100,N710=6)," and ",""),K710)),""))</f>
        <v>One Thousand Three Hundred and Sixty five</v>
      </c>
    </row>
    <row r="711" spans="2:18" s="192" customFormat="1" ht="34.5" customHeight="1" hidden="1">
      <c r="B711" s="197">
        <f>B710+1</f>
        <v>1366</v>
      </c>
      <c r="C711" s="196" t="str">
        <f>IF(B711="","",CONCATENATE("",R711," rupees only"))</f>
        <v>One Thousand Three Hundred and Sixty six rupees only</v>
      </c>
      <c r="D711" s="192">
        <f>INT(B711/100000)</f>
        <v>0</v>
      </c>
      <c r="E711" s="192">
        <f>INT(B711/1000-D711*100)</f>
        <v>1</v>
      </c>
      <c r="F711" s="192">
        <f>INT(B711/100-D711*1000-E711*10)</f>
        <v>3</v>
      </c>
      <c r="G711" s="192">
        <f>INT(B711-D711*100000-E711*1000-F711*100)</f>
        <v>66</v>
      </c>
      <c r="H711" s="192">
        <f>IF(D711=0,"",VLOOKUP(D711,B716:C815,2,0))</f>
      </c>
      <c r="I711" s="192" t="str">
        <f>IF(E711=0,"",VLOOKUP(E711,B716:C815,2,0))</f>
        <v>One</v>
      </c>
      <c r="J711" s="192" t="str">
        <f>IF(F711=0,"",VLOOKUP(F711,B716:C815,2,0))</f>
        <v>Three</v>
      </c>
      <c r="K711" s="192" t="str">
        <f>IF(G711=0,"",VLOOKUP(G711,B716:C815,2,0))</f>
        <v>Sixty six</v>
      </c>
      <c r="L711" s="192">
        <f>IF(AND(F711=0,G711=0),1,2)</f>
        <v>2</v>
      </c>
      <c r="M711" s="192">
        <f>IF(G711=0,3,4)</f>
        <v>4</v>
      </c>
      <c r="N711" s="192">
        <f>IF(OR(L711=1,M711=3),5,6)</f>
        <v>6</v>
      </c>
      <c r="O711" s="192">
        <f>IF(D711&gt;1," Lakhs ",IF(D711&gt;0," Lakh ",""))</f>
      </c>
      <c r="P711" s="192" t="str">
        <f>IF(E711&gt;0," Thousand ","")</f>
        <v> Thousand </v>
      </c>
      <c r="Q711" s="192" t="str">
        <f>IF(F711&gt;0," Hundred ","")</f>
        <v> Hundred </v>
      </c>
      <c r="R711" s="196" t="str">
        <f>IF(B711=0,"Zero",IF(B711&gt;0,TRIM(CONCATENATE(H711,O711,I711,P711,J711,Q711,IF(AND(B711&gt;100,N711=6)," and ",""),K711)),""))</f>
        <v>One Thousand Three Hundred and Sixty six</v>
      </c>
    </row>
    <row r="712" spans="2:18" s="192" customFormat="1" ht="34.5" customHeight="1" hidden="1">
      <c r="B712" s="195"/>
      <c r="C712" s="196">
        <f>IF(B712="","",CONCATENATE("(",R712," rupees only)"))</f>
      </c>
      <c r="D712" s="192">
        <f>INT(B712/100000)</f>
        <v>0</v>
      </c>
      <c r="E712" s="192">
        <f>INT(B712/1000-D712*100)</f>
        <v>0</v>
      </c>
      <c r="F712" s="192">
        <f>INT(B712/100-D712*1000-E712*10)</f>
        <v>0</v>
      </c>
      <c r="G712" s="192">
        <f>INT(B712-D712*100000-E712*1000-F712*100)</f>
        <v>0</v>
      </c>
      <c r="H712" s="192">
        <f>IF(D712=0,"",VLOOKUP(D712,B716:C816,2,0))</f>
      </c>
      <c r="I712" s="192">
        <f>IF(E712=0,"",VLOOKUP(E712,B716:C816,2,0))</f>
      </c>
      <c r="J712" s="192">
        <f>IF(F712=0,"",VLOOKUP(F712,B716:C816,2,0))</f>
      </c>
      <c r="K712" s="192">
        <f>IF(G712=0,"",VLOOKUP(G712,B716:C816,2,0))</f>
      </c>
      <c r="L712" s="192">
        <f>IF(AND(F712=0,G712=0),1,2)</f>
        <v>1</v>
      </c>
      <c r="M712" s="192">
        <f>IF(G712=0,3,4)</f>
        <v>3</v>
      </c>
      <c r="N712" s="192">
        <f>IF(OR(L712=1,M712=3),5,6)</f>
        <v>5</v>
      </c>
      <c r="O712" s="192">
        <f>IF(D712&gt;1," Lakhs ",IF(D712&gt;0," Lakh ",""))</f>
      </c>
      <c r="P712" s="192">
        <f>IF(E712&gt;0," Thousand ","")</f>
      </c>
      <c r="Q712" s="192">
        <f>IF(F712&gt;0," Hundred ","")</f>
      </c>
      <c r="R712" s="196" t="str">
        <f>IF(B712=0,"Zero",IF(B712&gt;0,TRIM(CONCATENATE(H712,O712,I712,P712,J712,Q712,IF(AND(B712&gt;100,N712=6)," and ",""),K712)),""))</f>
        <v>Zero</v>
      </c>
    </row>
    <row r="713" s="192" customFormat="1" ht="12" customHeight="1" hidden="1"/>
    <row r="714" s="192" customFormat="1" ht="12" customHeight="1" hidden="1"/>
    <row r="715" s="192" customFormat="1" ht="12" customHeight="1" hidden="1"/>
    <row r="716" spans="2:5" s="192" customFormat="1" ht="12" customHeight="1" hidden="1">
      <c r="B716" s="198">
        <v>1</v>
      </c>
      <c r="C716" s="198" t="s">
        <v>306</v>
      </c>
      <c r="E716" s="199" t="str">
        <f>CONCATENATE("Passed Per Rs. ",B710,"-00 ",C710)</f>
        <v>Passed Per Rs. 1365-00 (One Thousand Three Hundred and Sixty five rupees only)</v>
      </c>
    </row>
    <row r="717" spans="2:100" s="192" customFormat="1" ht="12" customHeight="1" hidden="1">
      <c r="B717" s="198">
        <v>2</v>
      </c>
      <c r="C717" s="198" t="s">
        <v>307</v>
      </c>
      <c r="D717" s="193"/>
      <c r="E717" s="193"/>
      <c r="F717" s="193"/>
      <c r="G717" s="193"/>
      <c r="H717" s="193"/>
      <c r="I717" s="193"/>
      <c r="J717" s="193"/>
      <c r="K717" s="193"/>
      <c r="L717" s="193"/>
      <c r="M717" s="193"/>
      <c r="N717" s="193"/>
      <c r="O717" s="193"/>
      <c r="P717" s="193"/>
      <c r="Q717" s="193"/>
      <c r="R717" s="193"/>
      <c r="S717" s="193"/>
      <c r="T717" s="193"/>
      <c r="U717" s="193"/>
      <c r="V717" s="193"/>
      <c r="W717" s="193"/>
      <c r="X717" s="193"/>
      <c r="Y717" s="193"/>
      <c r="Z717" s="193"/>
      <c r="AA717" s="193"/>
      <c r="AB717" s="193"/>
      <c r="AC717" s="193"/>
      <c r="AD717" s="193"/>
      <c r="AE717" s="193"/>
      <c r="AF717" s="193"/>
      <c r="AG717" s="193"/>
      <c r="AH717" s="193"/>
      <c r="AI717" s="193"/>
      <c r="AJ717" s="193"/>
      <c r="AK717" s="193"/>
      <c r="AL717" s="193"/>
      <c r="AM717" s="193"/>
      <c r="AN717" s="193"/>
      <c r="AO717" s="193"/>
      <c r="AP717" s="193"/>
      <c r="AQ717" s="193"/>
      <c r="AR717" s="193"/>
      <c r="AS717" s="193"/>
      <c r="AT717" s="193"/>
      <c r="AU717" s="193"/>
      <c r="AV717" s="193"/>
      <c r="AW717" s="193"/>
      <c r="AX717" s="193"/>
      <c r="AY717" s="193"/>
      <c r="AZ717" s="193"/>
      <c r="BA717" s="193"/>
      <c r="BB717" s="193"/>
      <c r="BC717" s="193"/>
      <c r="BD717" s="193"/>
      <c r="BE717" s="193"/>
      <c r="BF717" s="193"/>
      <c r="BG717" s="193"/>
      <c r="BH717" s="193"/>
      <c r="BI717" s="193"/>
      <c r="BJ717" s="193"/>
      <c r="BK717" s="193"/>
      <c r="BL717" s="193"/>
      <c r="BM717" s="193"/>
      <c r="BN717" s="193"/>
      <c r="BO717" s="193"/>
      <c r="BP717" s="193"/>
      <c r="BQ717" s="193"/>
      <c r="BR717" s="193"/>
      <c r="BS717" s="193"/>
      <c r="BT717" s="193"/>
      <c r="BU717" s="193"/>
      <c r="BV717" s="193"/>
      <c r="BW717" s="193"/>
      <c r="BX717" s="193"/>
      <c r="BY717" s="193"/>
      <c r="BZ717" s="193"/>
      <c r="CA717" s="193"/>
      <c r="CB717" s="193"/>
      <c r="CC717" s="193"/>
      <c r="CD717" s="193"/>
      <c r="CE717" s="193"/>
      <c r="CF717" s="193"/>
      <c r="CG717" s="193"/>
      <c r="CH717" s="193"/>
      <c r="CI717" s="193"/>
      <c r="CJ717" s="193"/>
      <c r="CK717" s="193"/>
      <c r="CL717" s="193"/>
      <c r="CM717" s="193"/>
      <c r="CN717" s="193"/>
      <c r="CO717" s="193"/>
      <c r="CP717" s="193"/>
      <c r="CQ717" s="193"/>
      <c r="CR717" s="193"/>
      <c r="CS717" s="193"/>
      <c r="CT717" s="193"/>
      <c r="CU717" s="193"/>
      <c r="CV717" s="193"/>
    </row>
    <row r="718" spans="2:5" s="192" customFormat="1" ht="12" customHeight="1" hidden="1">
      <c r="B718" s="198">
        <v>3</v>
      </c>
      <c r="C718" s="198" t="s">
        <v>308</v>
      </c>
      <c r="E718" s="199" t="str">
        <f>CONCATENATE("Under Rupees ",C711)</f>
        <v>Under Rupees One Thousand Three Hundred and Sixty six rupees only</v>
      </c>
    </row>
    <row r="719" spans="2:3" s="192" customFormat="1" ht="12" customHeight="1" hidden="1">
      <c r="B719" s="198">
        <v>4</v>
      </c>
      <c r="C719" s="198" t="s">
        <v>309</v>
      </c>
    </row>
    <row r="720" spans="2:3" s="192" customFormat="1" ht="12" customHeight="1" hidden="1">
      <c r="B720" s="198">
        <v>5</v>
      </c>
      <c r="C720" s="198" t="s">
        <v>310</v>
      </c>
    </row>
    <row r="721" spans="2:3" s="192" customFormat="1" ht="12" customHeight="1" hidden="1">
      <c r="B721" s="198">
        <v>6</v>
      </c>
      <c r="C721" s="198" t="s">
        <v>311</v>
      </c>
    </row>
    <row r="722" spans="2:3" s="192" customFormat="1" ht="12" customHeight="1" hidden="1">
      <c r="B722" s="198">
        <v>7</v>
      </c>
      <c r="C722" s="198" t="s">
        <v>312</v>
      </c>
    </row>
    <row r="723" spans="2:3" s="192" customFormat="1" ht="12" customHeight="1" hidden="1">
      <c r="B723" s="198">
        <v>8</v>
      </c>
      <c r="C723" s="198" t="s">
        <v>313</v>
      </c>
    </row>
    <row r="724" spans="2:3" s="192" customFormat="1" ht="12" customHeight="1" hidden="1">
      <c r="B724" s="198">
        <v>9</v>
      </c>
      <c r="C724" s="198" t="s">
        <v>314</v>
      </c>
    </row>
    <row r="725" spans="2:3" s="192" customFormat="1" ht="12" customHeight="1" hidden="1">
      <c r="B725" s="198">
        <v>10</v>
      </c>
      <c r="C725" s="198" t="s">
        <v>315</v>
      </c>
    </row>
    <row r="726" spans="2:3" s="192" customFormat="1" ht="12" customHeight="1" hidden="1">
      <c r="B726" s="198">
        <v>11</v>
      </c>
      <c r="C726" s="198" t="s">
        <v>316</v>
      </c>
    </row>
    <row r="727" spans="2:3" s="192" customFormat="1" ht="12" customHeight="1" hidden="1">
      <c r="B727" s="198">
        <v>12</v>
      </c>
      <c r="C727" s="198" t="s">
        <v>317</v>
      </c>
    </row>
    <row r="728" spans="2:3" s="192" customFormat="1" ht="12" customHeight="1" hidden="1">
      <c r="B728" s="198">
        <v>13</v>
      </c>
      <c r="C728" s="198" t="s">
        <v>318</v>
      </c>
    </row>
    <row r="729" spans="2:3" s="192" customFormat="1" ht="12" customHeight="1" hidden="1">
      <c r="B729" s="198">
        <v>14</v>
      </c>
      <c r="C729" s="198" t="s">
        <v>319</v>
      </c>
    </row>
    <row r="730" spans="2:3" s="192" customFormat="1" ht="12" customHeight="1" hidden="1">
      <c r="B730" s="198">
        <v>15</v>
      </c>
      <c r="C730" s="198" t="s">
        <v>320</v>
      </c>
    </row>
    <row r="731" spans="2:3" s="192" customFormat="1" ht="12" customHeight="1" hidden="1">
      <c r="B731" s="198">
        <v>16</v>
      </c>
      <c r="C731" s="198" t="s">
        <v>321</v>
      </c>
    </row>
    <row r="732" spans="2:3" s="192" customFormat="1" ht="12" customHeight="1" hidden="1">
      <c r="B732" s="198">
        <v>17</v>
      </c>
      <c r="C732" s="198" t="s">
        <v>322</v>
      </c>
    </row>
    <row r="733" spans="2:3" s="192" customFormat="1" ht="12" customHeight="1" hidden="1">
      <c r="B733" s="198">
        <v>18</v>
      </c>
      <c r="C733" s="198" t="s">
        <v>323</v>
      </c>
    </row>
    <row r="734" spans="2:3" s="192" customFormat="1" ht="12" customHeight="1" hidden="1">
      <c r="B734" s="198">
        <v>19</v>
      </c>
      <c r="C734" s="198" t="s">
        <v>324</v>
      </c>
    </row>
    <row r="735" spans="2:3" s="192" customFormat="1" ht="12" customHeight="1" hidden="1">
      <c r="B735" s="198">
        <v>20</v>
      </c>
      <c r="C735" s="198" t="s">
        <v>325</v>
      </c>
    </row>
    <row r="736" spans="2:3" s="192" customFormat="1" ht="12" customHeight="1" hidden="1">
      <c r="B736" s="198">
        <v>21</v>
      </c>
      <c r="C736" s="198" t="s">
        <v>326</v>
      </c>
    </row>
    <row r="737" spans="2:3" s="192" customFormat="1" ht="12" customHeight="1" hidden="1">
      <c r="B737" s="198">
        <v>22</v>
      </c>
      <c r="C737" s="198" t="s">
        <v>327</v>
      </c>
    </row>
    <row r="738" spans="2:3" s="192" customFormat="1" ht="12" customHeight="1" hidden="1">
      <c r="B738" s="198">
        <v>23</v>
      </c>
      <c r="C738" s="198" t="s">
        <v>328</v>
      </c>
    </row>
    <row r="739" spans="2:3" s="192" customFormat="1" ht="12" customHeight="1" hidden="1">
      <c r="B739" s="198">
        <v>24</v>
      </c>
      <c r="C739" s="198" t="s">
        <v>329</v>
      </c>
    </row>
    <row r="740" spans="2:3" s="192" customFormat="1" ht="12" customHeight="1" hidden="1">
      <c r="B740" s="198">
        <v>25</v>
      </c>
      <c r="C740" s="198" t="s">
        <v>330</v>
      </c>
    </row>
    <row r="741" spans="2:3" s="192" customFormat="1" ht="12" customHeight="1" hidden="1">
      <c r="B741" s="198">
        <v>26</v>
      </c>
      <c r="C741" s="198" t="s">
        <v>331</v>
      </c>
    </row>
    <row r="742" spans="2:3" s="192" customFormat="1" ht="12" customHeight="1" hidden="1">
      <c r="B742" s="198">
        <v>27</v>
      </c>
      <c r="C742" s="198" t="s">
        <v>332</v>
      </c>
    </row>
    <row r="743" spans="2:3" s="192" customFormat="1" ht="12" customHeight="1" hidden="1">
      <c r="B743" s="198">
        <v>28</v>
      </c>
      <c r="C743" s="198" t="s">
        <v>333</v>
      </c>
    </row>
    <row r="744" spans="2:3" s="192" customFormat="1" ht="12" customHeight="1" hidden="1">
      <c r="B744" s="198">
        <v>29</v>
      </c>
      <c r="C744" s="198" t="s">
        <v>334</v>
      </c>
    </row>
    <row r="745" spans="2:3" s="192" customFormat="1" ht="12" customHeight="1" hidden="1">
      <c r="B745" s="198">
        <v>30</v>
      </c>
      <c r="C745" s="198" t="s">
        <v>335</v>
      </c>
    </row>
    <row r="746" spans="2:3" s="192" customFormat="1" ht="12" customHeight="1" hidden="1">
      <c r="B746" s="198">
        <v>31</v>
      </c>
      <c r="C746" s="198" t="s">
        <v>336</v>
      </c>
    </row>
    <row r="747" spans="2:3" s="192" customFormat="1" ht="12" customHeight="1" hidden="1">
      <c r="B747" s="198">
        <v>32</v>
      </c>
      <c r="C747" s="198" t="s">
        <v>337</v>
      </c>
    </row>
    <row r="748" spans="2:3" s="192" customFormat="1" ht="12" customHeight="1" hidden="1">
      <c r="B748" s="198">
        <v>33</v>
      </c>
      <c r="C748" s="198" t="s">
        <v>338</v>
      </c>
    </row>
    <row r="749" spans="2:3" s="192" customFormat="1" ht="12" customHeight="1" hidden="1">
      <c r="B749" s="198">
        <v>34</v>
      </c>
      <c r="C749" s="198" t="s">
        <v>339</v>
      </c>
    </row>
    <row r="750" spans="2:3" s="192" customFormat="1" ht="12" customHeight="1" hidden="1">
      <c r="B750" s="198">
        <v>35</v>
      </c>
      <c r="C750" s="198" t="s">
        <v>340</v>
      </c>
    </row>
    <row r="751" spans="2:3" s="192" customFormat="1" ht="12" customHeight="1" hidden="1">
      <c r="B751" s="198">
        <v>36</v>
      </c>
      <c r="C751" s="198" t="s">
        <v>341</v>
      </c>
    </row>
    <row r="752" spans="2:3" s="192" customFormat="1" ht="12" customHeight="1" hidden="1">
      <c r="B752" s="198">
        <v>37</v>
      </c>
      <c r="C752" s="198" t="s">
        <v>342</v>
      </c>
    </row>
    <row r="753" spans="2:3" s="192" customFormat="1" ht="12" customHeight="1" hidden="1">
      <c r="B753" s="198">
        <v>38</v>
      </c>
      <c r="C753" s="198" t="s">
        <v>343</v>
      </c>
    </row>
    <row r="754" spans="2:3" s="192" customFormat="1" ht="12" customHeight="1" hidden="1">
      <c r="B754" s="198">
        <v>39</v>
      </c>
      <c r="C754" s="198" t="s">
        <v>344</v>
      </c>
    </row>
    <row r="755" spans="2:3" s="192" customFormat="1" ht="12" customHeight="1" hidden="1">
      <c r="B755" s="198">
        <v>40</v>
      </c>
      <c r="C755" s="198" t="s">
        <v>345</v>
      </c>
    </row>
    <row r="756" spans="2:3" s="192" customFormat="1" ht="12" customHeight="1" hidden="1">
      <c r="B756" s="198">
        <v>41</v>
      </c>
      <c r="C756" s="198" t="s">
        <v>346</v>
      </c>
    </row>
    <row r="757" spans="2:3" s="192" customFormat="1" ht="12" customHeight="1" hidden="1">
      <c r="B757" s="198">
        <v>42</v>
      </c>
      <c r="C757" s="198" t="s">
        <v>347</v>
      </c>
    </row>
    <row r="758" spans="2:3" s="192" customFormat="1" ht="12" customHeight="1" hidden="1">
      <c r="B758" s="198">
        <v>43</v>
      </c>
      <c r="C758" s="198" t="s">
        <v>348</v>
      </c>
    </row>
    <row r="759" spans="2:3" s="192" customFormat="1" ht="12" customHeight="1" hidden="1">
      <c r="B759" s="198">
        <v>44</v>
      </c>
      <c r="C759" s="198" t="s">
        <v>349</v>
      </c>
    </row>
    <row r="760" spans="1:10" s="141" customFormat="1" ht="20.25" customHeight="1" hidden="1">
      <c r="A760" s="140"/>
      <c r="B760" s="198">
        <v>45</v>
      </c>
      <c r="C760" s="198" t="s">
        <v>350</v>
      </c>
      <c r="H760" s="140"/>
      <c r="J760" s="140"/>
    </row>
    <row r="761" spans="1:10" s="141" customFormat="1" ht="20.25" customHeight="1" hidden="1">
      <c r="A761" s="140"/>
      <c r="B761" s="198">
        <v>46</v>
      </c>
      <c r="C761" s="198" t="s">
        <v>351</v>
      </c>
      <c r="H761" s="140"/>
      <c r="J761" s="140"/>
    </row>
    <row r="762" spans="1:10" s="141" customFormat="1" ht="20.25" customHeight="1" hidden="1">
      <c r="A762" s="140"/>
      <c r="B762" s="198">
        <v>47</v>
      </c>
      <c r="C762" s="198" t="s">
        <v>352</v>
      </c>
      <c r="H762" s="140"/>
      <c r="J762" s="140"/>
    </row>
    <row r="763" spans="1:10" s="141" customFormat="1" ht="20.25" customHeight="1" hidden="1">
      <c r="A763" s="140"/>
      <c r="B763" s="198">
        <v>48</v>
      </c>
      <c r="C763" s="198" t="s">
        <v>353</v>
      </c>
      <c r="H763" s="140"/>
      <c r="J763" s="140"/>
    </row>
    <row r="764" spans="1:10" s="141" customFormat="1" ht="20.25" customHeight="1" hidden="1">
      <c r="A764" s="140"/>
      <c r="B764" s="198">
        <v>49</v>
      </c>
      <c r="C764" s="198" t="s">
        <v>354</v>
      </c>
      <c r="H764" s="140"/>
      <c r="J764" s="140"/>
    </row>
    <row r="765" spans="1:10" s="141" customFormat="1" ht="20.25" customHeight="1" hidden="1">
      <c r="A765" s="140"/>
      <c r="B765" s="198">
        <v>50</v>
      </c>
      <c r="C765" s="198" t="s">
        <v>355</v>
      </c>
      <c r="H765" s="140"/>
      <c r="J765" s="140"/>
    </row>
    <row r="766" spans="1:10" s="141" customFormat="1" ht="20.25" customHeight="1" hidden="1">
      <c r="A766" s="140"/>
      <c r="B766" s="198">
        <v>51</v>
      </c>
      <c r="C766" s="198" t="s">
        <v>356</v>
      </c>
      <c r="H766" s="140"/>
      <c r="J766" s="140"/>
    </row>
    <row r="767" spans="1:10" s="141" customFormat="1" ht="20.25" customHeight="1" hidden="1">
      <c r="A767" s="140"/>
      <c r="B767" s="198">
        <v>52</v>
      </c>
      <c r="C767" s="198" t="s">
        <v>357</v>
      </c>
      <c r="H767" s="140"/>
      <c r="J767" s="140"/>
    </row>
    <row r="768" spans="1:10" s="141" customFormat="1" ht="20.25" customHeight="1" hidden="1">
      <c r="A768" s="140"/>
      <c r="B768" s="198">
        <v>53</v>
      </c>
      <c r="C768" s="198" t="s">
        <v>358</v>
      </c>
      <c r="H768" s="140"/>
      <c r="J768" s="140"/>
    </row>
    <row r="769" spans="1:10" s="141" customFormat="1" ht="20.25" customHeight="1" hidden="1">
      <c r="A769" s="140"/>
      <c r="B769" s="198">
        <v>54</v>
      </c>
      <c r="C769" s="198" t="s">
        <v>359</v>
      </c>
      <c r="H769" s="140"/>
      <c r="J769" s="140"/>
    </row>
    <row r="770" spans="1:10" s="141" customFormat="1" ht="20.25" customHeight="1" hidden="1">
      <c r="A770" s="140"/>
      <c r="B770" s="198">
        <v>55</v>
      </c>
      <c r="C770" s="198" t="s">
        <v>360</v>
      </c>
      <c r="H770" s="140"/>
      <c r="J770" s="140"/>
    </row>
    <row r="771" spans="1:10" s="141" customFormat="1" ht="20.25" customHeight="1" hidden="1">
      <c r="A771" s="140"/>
      <c r="B771" s="198">
        <v>56</v>
      </c>
      <c r="C771" s="198" t="s">
        <v>361</v>
      </c>
      <c r="H771" s="140"/>
      <c r="J771" s="140"/>
    </row>
    <row r="772" spans="1:10" s="141" customFormat="1" ht="20.25" customHeight="1" hidden="1">
      <c r="A772" s="140"/>
      <c r="B772" s="198">
        <v>57</v>
      </c>
      <c r="C772" s="198" t="s">
        <v>362</v>
      </c>
      <c r="H772" s="140"/>
      <c r="J772" s="140"/>
    </row>
    <row r="773" spans="1:10" s="141" customFormat="1" ht="20.25" customHeight="1" hidden="1">
      <c r="A773" s="140"/>
      <c r="B773" s="198">
        <v>58</v>
      </c>
      <c r="C773" s="198" t="s">
        <v>363</v>
      </c>
      <c r="H773" s="140"/>
      <c r="J773" s="140"/>
    </row>
    <row r="774" spans="1:10" s="141" customFormat="1" ht="20.25" customHeight="1" hidden="1">
      <c r="A774" s="140"/>
      <c r="B774" s="198">
        <v>59</v>
      </c>
      <c r="C774" s="198" t="s">
        <v>364</v>
      </c>
      <c r="H774" s="140"/>
      <c r="J774" s="140"/>
    </row>
    <row r="775" spans="1:10" s="141" customFormat="1" ht="20.25" customHeight="1" hidden="1">
      <c r="A775" s="140"/>
      <c r="B775" s="198">
        <v>60</v>
      </c>
      <c r="C775" s="198" t="s">
        <v>365</v>
      </c>
      <c r="H775" s="140"/>
      <c r="J775" s="140"/>
    </row>
    <row r="776" spans="1:10" s="141" customFormat="1" ht="20.25" customHeight="1" hidden="1">
      <c r="A776" s="140"/>
      <c r="B776" s="198">
        <v>61</v>
      </c>
      <c r="C776" s="198" t="s">
        <v>366</v>
      </c>
      <c r="H776" s="140"/>
      <c r="J776" s="140"/>
    </row>
    <row r="777" spans="1:10" s="141" customFormat="1" ht="20.25" customHeight="1" hidden="1">
      <c r="A777" s="140"/>
      <c r="B777" s="198">
        <v>62</v>
      </c>
      <c r="C777" s="198" t="s">
        <v>367</v>
      </c>
      <c r="H777" s="140"/>
      <c r="J777" s="140"/>
    </row>
    <row r="778" spans="1:10" s="141" customFormat="1" ht="20.25" customHeight="1" hidden="1">
      <c r="A778" s="140"/>
      <c r="B778" s="198">
        <v>63</v>
      </c>
      <c r="C778" s="198" t="s">
        <v>368</v>
      </c>
      <c r="H778" s="140"/>
      <c r="J778" s="140"/>
    </row>
    <row r="779" spans="1:10" s="141" customFormat="1" ht="20.25" customHeight="1" hidden="1">
      <c r="A779" s="140"/>
      <c r="B779" s="198">
        <v>64</v>
      </c>
      <c r="C779" s="198" t="s">
        <v>369</v>
      </c>
      <c r="H779" s="140"/>
      <c r="J779" s="140"/>
    </row>
    <row r="780" spans="1:10" s="141" customFormat="1" ht="20.25" customHeight="1" hidden="1">
      <c r="A780" s="140"/>
      <c r="B780" s="198">
        <v>65</v>
      </c>
      <c r="C780" s="198" t="s">
        <v>370</v>
      </c>
      <c r="H780" s="140"/>
      <c r="J780" s="140"/>
    </row>
    <row r="781" spans="1:10" s="141" customFormat="1" ht="20.25" customHeight="1" hidden="1">
      <c r="A781" s="140"/>
      <c r="B781" s="198">
        <v>66</v>
      </c>
      <c r="C781" s="198" t="s">
        <v>371</v>
      </c>
      <c r="H781" s="140"/>
      <c r="J781" s="140"/>
    </row>
    <row r="782" spans="1:10" s="141" customFormat="1" ht="20.25" customHeight="1" hidden="1">
      <c r="A782" s="140"/>
      <c r="B782" s="198">
        <v>67</v>
      </c>
      <c r="C782" s="198" t="s">
        <v>372</v>
      </c>
      <c r="H782" s="140"/>
      <c r="J782" s="140"/>
    </row>
    <row r="783" spans="1:10" s="141" customFormat="1" ht="20.25" customHeight="1" hidden="1">
      <c r="A783" s="140"/>
      <c r="B783" s="198">
        <v>68</v>
      </c>
      <c r="C783" s="198" t="s">
        <v>373</v>
      </c>
      <c r="H783" s="140"/>
      <c r="J783" s="140"/>
    </row>
    <row r="784" spans="1:10" s="141" customFormat="1" ht="20.25" customHeight="1" hidden="1">
      <c r="A784" s="140"/>
      <c r="B784" s="198">
        <v>69</v>
      </c>
      <c r="C784" s="198" t="s">
        <v>374</v>
      </c>
      <c r="H784" s="140"/>
      <c r="J784" s="140"/>
    </row>
    <row r="785" spans="1:10" s="141" customFormat="1" ht="20.25" customHeight="1" hidden="1">
      <c r="A785" s="140"/>
      <c r="B785" s="198">
        <v>70</v>
      </c>
      <c r="C785" s="198" t="s">
        <v>375</v>
      </c>
      <c r="H785" s="140"/>
      <c r="J785" s="140"/>
    </row>
    <row r="786" spans="1:10" s="141" customFormat="1" ht="20.25" customHeight="1" hidden="1">
      <c r="A786" s="140"/>
      <c r="B786" s="198">
        <v>71</v>
      </c>
      <c r="C786" s="198" t="s">
        <v>376</v>
      </c>
      <c r="H786" s="140"/>
      <c r="J786" s="140"/>
    </row>
    <row r="787" spans="1:10" s="141" customFormat="1" ht="20.25" customHeight="1" hidden="1">
      <c r="A787" s="140"/>
      <c r="B787" s="198">
        <v>72</v>
      </c>
      <c r="C787" s="198" t="s">
        <v>377</v>
      </c>
      <c r="H787" s="140"/>
      <c r="J787" s="140"/>
    </row>
    <row r="788" spans="1:10" s="141" customFormat="1" ht="20.25" customHeight="1" hidden="1">
      <c r="A788" s="140"/>
      <c r="B788" s="198">
        <v>73</v>
      </c>
      <c r="C788" s="198" t="s">
        <v>378</v>
      </c>
      <c r="H788" s="140"/>
      <c r="J788" s="140"/>
    </row>
    <row r="789" spans="1:10" s="141" customFormat="1" ht="20.25" customHeight="1" hidden="1">
      <c r="A789" s="140"/>
      <c r="B789" s="198">
        <v>74</v>
      </c>
      <c r="C789" s="198" t="s">
        <v>379</v>
      </c>
      <c r="H789" s="140"/>
      <c r="J789" s="140"/>
    </row>
    <row r="790" spans="1:10" s="141" customFormat="1" ht="20.25" customHeight="1" hidden="1">
      <c r="A790" s="140"/>
      <c r="B790" s="198">
        <v>75</v>
      </c>
      <c r="C790" s="198" t="s">
        <v>380</v>
      </c>
      <c r="H790" s="140"/>
      <c r="J790" s="140"/>
    </row>
    <row r="791" spans="1:10" s="141" customFormat="1" ht="20.25" customHeight="1" hidden="1">
      <c r="A791" s="140"/>
      <c r="B791" s="198">
        <v>76</v>
      </c>
      <c r="C791" s="198" t="s">
        <v>381</v>
      </c>
      <c r="H791" s="140"/>
      <c r="J791" s="140"/>
    </row>
    <row r="792" spans="1:10" s="141" customFormat="1" ht="20.25" customHeight="1" hidden="1">
      <c r="A792" s="140"/>
      <c r="B792" s="198">
        <v>77</v>
      </c>
      <c r="C792" s="198" t="s">
        <v>382</v>
      </c>
      <c r="H792" s="140"/>
      <c r="J792" s="140"/>
    </row>
    <row r="793" spans="1:10" s="141" customFormat="1" ht="20.25" customHeight="1" hidden="1">
      <c r="A793" s="140"/>
      <c r="B793" s="198">
        <v>78</v>
      </c>
      <c r="C793" s="198" t="s">
        <v>383</v>
      </c>
      <c r="H793" s="140"/>
      <c r="J793" s="140"/>
    </row>
    <row r="794" spans="1:10" s="141" customFormat="1" ht="20.25" customHeight="1" hidden="1">
      <c r="A794" s="140"/>
      <c r="B794" s="198">
        <v>79</v>
      </c>
      <c r="C794" s="198" t="s">
        <v>384</v>
      </c>
      <c r="H794" s="140"/>
      <c r="J794" s="140"/>
    </row>
    <row r="795" spans="1:10" s="141" customFormat="1" ht="20.25" customHeight="1" hidden="1">
      <c r="A795" s="140"/>
      <c r="B795" s="198">
        <v>80</v>
      </c>
      <c r="C795" s="198" t="s">
        <v>385</v>
      </c>
      <c r="H795" s="140"/>
      <c r="J795" s="140"/>
    </row>
    <row r="796" spans="1:10" s="141" customFormat="1" ht="20.25" customHeight="1" hidden="1">
      <c r="A796" s="140"/>
      <c r="B796" s="198">
        <v>81</v>
      </c>
      <c r="C796" s="198" t="s">
        <v>386</v>
      </c>
      <c r="H796" s="140"/>
      <c r="J796" s="140"/>
    </row>
    <row r="797" spans="1:10" s="141" customFormat="1" ht="20.25" customHeight="1" hidden="1">
      <c r="A797" s="140"/>
      <c r="B797" s="198">
        <v>82</v>
      </c>
      <c r="C797" s="198" t="s">
        <v>387</v>
      </c>
      <c r="H797" s="140"/>
      <c r="J797" s="140"/>
    </row>
    <row r="798" spans="1:10" s="141" customFormat="1" ht="20.25" customHeight="1" hidden="1">
      <c r="A798" s="140"/>
      <c r="B798" s="198">
        <v>83</v>
      </c>
      <c r="C798" s="198" t="s">
        <v>388</v>
      </c>
      <c r="H798" s="140"/>
      <c r="J798" s="140"/>
    </row>
    <row r="799" spans="1:10" s="141" customFormat="1" ht="20.25" customHeight="1" hidden="1">
      <c r="A799" s="140"/>
      <c r="B799" s="198">
        <v>84</v>
      </c>
      <c r="C799" s="198" t="s">
        <v>389</v>
      </c>
      <c r="H799" s="140"/>
      <c r="J799" s="140"/>
    </row>
    <row r="800" spans="1:10" s="141" customFormat="1" ht="20.25" customHeight="1" hidden="1">
      <c r="A800" s="140"/>
      <c r="B800" s="198">
        <v>85</v>
      </c>
      <c r="C800" s="198" t="s">
        <v>390</v>
      </c>
      <c r="H800" s="140"/>
      <c r="J800" s="140"/>
    </row>
    <row r="801" spans="1:10" s="141" customFormat="1" ht="20.25" customHeight="1" hidden="1">
      <c r="A801" s="140"/>
      <c r="B801" s="198">
        <v>86</v>
      </c>
      <c r="C801" s="198" t="s">
        <v>391</v>
      </c>
      <c r="H801" s="140"/>
      <c r="J801" s="140"/>
    </row>
    <row r="802" spans="1:10" s="141" customFormat="1" ht="20.25" customHeight="1" hidden="1">
      <c r="A802" s="140"/>
      <c r="B802" s="198">
        <v>87</v>
      </c>
      <c r="C802" s="198" t="s">
        <v>392</v>
      </c>
      <c r="H802" s="140"/>
      <c r="J802" s="140"/>
    </row>
    <row r="803" spans="1:10" s="141" customFormat="1" ht="20.25" customHeight="1" hidden="1">
      <c r="A803" s="140"/>
      <c r="B803" s="198">
        <v>88</v>
      </c>
      <c r="C803" s="198" t="s">
        <v>393</v>
      </c>
      <c r="H803" s="140"/>
      <c r="J803" s="140"/>
    </row>
    <row r="804" spans="1:10" s="141" customFormat="1" ht="20.25" customHeight="1" hidden="1">
      <c r="A804" s="140"/>
      <c r="B804" s="198">
        <v>89</v>
      </c>
      <c r="C804" s="198" t="s">
        <v>394</v>
      </c>
      <c r="H804" s="140"/>
      <c r="J804" s="140"/>
    </row>
    <row r="805" spans="1:10" s="141" customFormat="1" ht="20.25" customHeight="1" hidden="1">
      <c r="A805" s="140"/>
      <c r="B805" s="198">
        <v>90</v>
      </c>
      <c r="C805" s="198" t="s">
        <v>395</v>
      </c>
      <c r="H805" s="140"/>
      <c r="J805" s="140"/>
    </row>
    <row r="806" spans="1:10" s="141" customFormat="1" ht="20.25" customHeight="1" hidden="1">
      <c r="A806" s="140"/>
      <c r="B806" s="198">
        <v>91</v>
      </c>
      <c r="C806" s="198" t="s">
        <v>396</v>
      </c>
      <c r="H806" s="140"/>
      <c r="J806" s="140"/>
    </row>
    <row r="807" spans="1:10" s="141" customFormat="1" ht="20.25" customHeight="1" hidden="1">
      <c r="A807" s="140"/>
      <c r="B807" s="198">
        <v>92</v>
      </c>
      <c r="C807" s="198" t="s">
        <v>397</v>
      </c>
      <c r="H807" s="140"/>
      <c r="J807" s="140"/>
    </row>
    <row r="808" spans="1:10" s="141" customFormat="1" ht="20.25" customHeight="1" hidden="1">
      <c r="A808" s="140"/>
      <c r="B808" s="198">
        <v>93</v>
      </c>
      <c r="C808" s="198" t="s">
        <v>398</v>
      </c>
      <c r="H808" s="140"/>
      <c r="J808" s="140"/>
    </row>
    <row r="809" spans="1:10" s="141" customFormat="1" ht="20.25" customHeight="1" hidden="1">
      <c r="A809" s="140"/>
      <c r="B809" s="198">
        <v>94</v>
      </c>
      <c r="C809" s="198" t="s">
        <v>399</v>
      </c>
      <c r="H809" s="140"/>
      <c r="J809" s="140"/>
    </row>
    <row r="810" spans="1:10" s="141" customFormat="1" ht="20.25" customHeight="1" hidden="1">
      <c r="A810" s="140"/>
      <c r="B810" s="198">
        <v>95</v>
      </c>
      <c r="C810" s="198" t="s">
        <v>400</v>
      </c>
      <c r="H810" s="140"/>
      <c r="J810" s="140"/>
    </row>
    <row r="811" spans="1:10" s="141" customFormat="1" ht="20.25" customHeight="1" hidden="1">
      <c r="A811" s="140"/>
      <c r="B811" s="198">
        <v>96</v>
      </c>
      <c r="C811" s="198" t="s">
        <v>401</v>
      </c>
      <c r="H811" s="140"/>
      <c r="J811" s="140"/>
    </row>
    <row r="812" spans="1:10" s="141" customFormat="1" ht="20.25" customHeight="1" hidden="1">
      <c r="A812" s="140"/>
      <c r="B812" s="198">
        <v>97</v>
      </c>
      <c r="C812" s="198" t="s">
        <v>402</v>
      </c>
      <c r="H812" s="140"/>
      <c r="J812" s="140"/>
    </row>
    <row r="813" spans="1:10" s="141" customFormat="1" ht="20.25" customHeight="1" hidden="1">
      <c r="A813" s="140"/>
      <c r="B813" s="198">
        <v>98</v>
      </c>
      <c r="C813" s="198" t="s">
        <v>403</v>
      </c>
      <c r="H813" s="140"/>
      <c r="J813" s="140"/>
    </row>
    <row r="814" spans="1:10" s="141" customFormat="1" ht="20.25" customHeight="1" hidden="1">
      <c r="A814" s="140"/>
      <c r="B814" s="198">
        <v>99</v>
      </c>
      <c r="C814" s="198" t="s">
        <v>404</v>
      </c>
      <c r="H814" s="140"/>
      <c r="J814" s="140"/>
    </row>
    <row r="815" spans="1:10" s="141" customFormat="1" ht="20.25" customHeight="1" hidden="1">
      <c r="A815" s="140"/>
      <c r="H815" s="140"/>
      <c r="J815" s="140"/>
    </row>
    <row r="816" spans="1:10" s="141" customFormat="1" ht="20.25" customHeight="1" hidden="1">
      <c r="A816" s="140"/>
      <c r="H816" s="140"/>
      <c r="J816" s="140"/>
    </row>
    <row r="817" spans="1:10" s="141" customFormat="1" ht="20.25" customHeight="1" hidden="1">
      <c r="A817" s="140"/>
      <c r="H817" s="140"/>
      <c r="J817" s="140"/>
    </row>
    <row r="818" spans="1:10" s="141" customFormat="1" ht="20.25" customHeight="1" hidden="1">
      <c r="A818" s="140"/>
      <c r="H818" s="140"/>
      <c r="J818" s="140"/>
    </row>
    <row r="819" spans="1:10" s="141" customFormat="1" ht="20.25" customHeight="1" hidden="1">
      <c r="A819" s="140"/>
      <c r="H819" s="140"/>
      <c r="J819" s="140"/>
    </row>
    <row r="820" spans="1:10" s="141" customFormat="1" ht="20.25" customHeight="1" hidden="1">
      <c r="A820" s="140"/>
      <c r="H820" s="140"/>
      <c r="J820" s="140"/>
    </row>
    <row r="821" spans="1:10" s="141" customFormat="1" ht="20.25" customHeight="1" hidden="1">
      <c r="A821" s="140"/>
      <c r="H821" s="140"/>
      <c r="J821" s="140"/>
    </row>
    <row r="822" spans="1:10" s="141" customFormat="1" ht="20.25" customHeight="1" hidden="1">
      <c r="A822" s="140"/>
      <c r="H822" s="140"/>
      <c r="J822" s="140"/>
    </row>
    <row r="823" spans="1:10" s="141" customFormat="1" ht="20.25" customHeight="1" hidden="1">
      <c r="A823" s="140"/>
      <c r="H823" s="140"/>
      <c r="J823" s="140"/>
    </row>
    <row r="824" spans="1:10" s="141" customFormat="1" ht="20.25" customHeight="1" hidden="1">
      <c r="A824" s="140"/>
      <c r="H824" s="140"/>
      <c r="J824" s="140"/>
    </row>
    <row r="825" spans="1:10" s="141" customFormat="1" ht="20.25" customHeight="1" hidden="1">
      <c r="A825" s="140"/>
      <c r="H825" s="140"/>
      <c r="J825" s="140"/>
    </row>
    <row r="826" spans="1:10" s="141" customFormat="1" ht="20.25" customHeight="1" hidden="1">
      <c r="A826" s="140"/>
      <c r="H826" s="140"/>
      <c r="J826" s="140"/>
    </row>
    <row r="827" spans="1:10" s="141" customFormat="1" ht="20.25" customHeight="1" hidden="1">
      <c r="A827" s="140"/>
      <c r="H827" s="140"/>
      <c r="J827" s="140"/>
    </row>
    <row r="828" spans="1:10" s="141" customFormat="1" ht="20.25" customHeight="1" hidden="1">
      <c r="A828" s="140"/>
      <c r="H828" s="140"/>
      <c r="J828" s="140"/>
    </row>
    <row r="829" spans="1:10" s="141" customFormat="1" ht="20.25" customHeight="1" hidden="1">
      <c r="A829" s="140"/>
      <c r="H829" s="140"/>
      <c r="J829" s="140"/>
    </row>
    <row r="830" spans="1:10" s="141" customFormat="1" ht="20.25" customHeight="1" hidden="1">
      <c r="A830" s="140"/>
      <c r="H830" s="140"/>
      <c r="J830" s="140"/>
    </row>
    <row r="831" spans="1:10" s="141" customFormat="1" ht="20.25" customHeight="1" hidden="1">
      <c r="A831" s="140"/>
      <c r="H831" s="140"/>
      <c r="J831" s="140"/>
    </row>
    <row r="832" spans="1:10" s="141" customFormat="1" ht="20.25" customHeight="1" hidden="1">
      <c r="A832" s="140"/>
      <c r="H832" s="140"/>
      <c r="J832" s="140"/>
    </row>
    <row r="833" spans="1:10" s="141" customFormat="1" ht="20.25" customHeight="1" hidden="1">
      <c r="A833" s="140"/>
      <c r="H833" s="140"/>
      <c r="J833" s="140"/>
    </row>
    <row r="834" spans="1:10" s="141" customFormat="1" ht="20.25" customHeight="1" hidden="1">
      <c r="A834" s="140"/>
      <c r="H834" s="140"/>
      <c r="J834" s="140"/>
    </row>
    <row r="835" spans="1:10" s="141" customFormat="1" ht="20.25" customHeight="1" hidden="1">
      <c r="A835" s="140"/>
      <c r="H835" s="140"/>
      <c r="J835" s="140"/>
    </row>
    <row r="836" spans="1:10" s="141" customFormat="1" ht="20.25" customHeight="1" hidden="1">
      <c r="A836" s="140"/>
      <c r="H836" s="140"/>
      <c r="J836" s="140"/>
    </row>
    <row r="837" ht="20.25" customHeight="1" hidden="1"/>
    <row r="838" ht="20.25" customHeight="1" hidden="1"/>
    <row r="839" ht="20.25" customHeight="1" hidden="1"/>
    <row r="840" ht="20.25" customHeight="1" hidden="1"/>
    <row r="841" ht="20.25" customHeight="1" hidden="1"/>
    <row r="842" ht="20.25" customHeight="1" hidden="1"/>
    <row r="843" ht="20.25" customHeight="1" hidden="1"/>
    <row r="844" ht="20.25" customHeight="1" hidden="1"/>
    <row r="845" ht="20.25" customHeight="1" hidden="1"/>
    <row r="846" ht="20.25" customHeight="1" hidden="1"/>
    <row r="847" ht="20.25" customHeight="1" hidden="1"/>
    <row r="848" ht="20.25" customHeight="1" hidden="1"/>
    <row r="849" ht="20.25" customHeight="1" hidden="1"/>
    <row r="850" ht="20.25" customHeight="1" hidden="1"/>
    <row r="851" ht="20.25" customHeight="1" hidden="1"/>
    <row r="852" ht="20.25" customHeight="1" hidden="1"/>
    <row r="853" ht="20.25" customHeight="1" hidden="1"/>
    <row r="854" ht="20.25" customHeight="1" hidden="1"/>
  </sheetData>
  <sheetProtection password="F716" sheet="1" objects="1" selectLockedCells="1"/>
  <protectedRanges>
    <protectedRange sqref="B710:B712" name="Range1_1"/>
  </protectedRanges>
  <mergeCells count="48">
    <mergeCell ref="R700:S700"/>
    <mergeCell ref="R701:S701"/>
    <mergeCell ref="R702:S702"/>
    <mergeCell ref="B501:G501"/>
    <mergeCell ref="I2:I21"/>
    <mergeCell ref="C23:D23"/>
    <mergeCell ref="B18:C18"/>
    <mergeCell ref="R703:S703"/>
    <mergeCell ref="B20:D20"/>
    <mergeCell ref="E20:G20"/>
    <mergeCell ref="B498:G500"/>
    <mergeCell ref="B21:C21"/>
    <mergeCell ref="F21:G21"/>
    <mergeCell ref="C22:D22"/>
    <mergeCell ref="F22:G22"/>
    <mergeCell ref="F24:G24"/>
    <mergeCell ref="B25:G26"/>
    <mergeCell ref="B2:C2"/>
    <mergeCell ref="D2:E2"/>
    <mergeCell ref="F2:G2"/>
    <mergeCell ref="D3:E3"/>
    <mergeCell ref="F3:G3"/>
    <mergeCell ref="B3:C3"/>
    <mergeCell ref="B488:G490"/>
    <mergeCell ref="B19:C19"/>
    <mergeCell ref="F10:G10"/>
    <mergeCell ref="F19:G19"/>
    <mergeCell ref="D18:E18"/>
    <mergeCell ref="F13:G15"/>
    <mergeCell ref="B13:E13"/>
    <mergeCell ref="B17:E17"/>
    <mergeCell ref="B6:C6"/>
    <mergeCell ref="F6:G6"/>
    <mergeCell ref="B7:C7"/>
    <mergeCell ref="D6:E6"/>
    <mergeCell ref="D5:E5"/>
    <mergeCell ref="C24:D24"/>
    <mergeCell ref="F5:G5"/>
    <mergeCell ref="B14:E14"/>
    <mergeCell ref="B15:E15"/>
    <mergeCell ref="B16:E16"/>
    <mergeCell ref="F11:G12"/>
    <mergeCell ref="B10:C12"/>
    <mergeCell ref="B4:C4"/>
    <mergeCell ref="B8:C8"/>
    <mergeCell ref="B9:D9"/>
    <mergeCell ref="F9:G9"/>
    <mergeCell ref="F4:G4"/>
  </mergeCells>
  <hyperlinks>
    <hyperlink ref="I2" r:id="rId1" display="www.prtunzb.org"/>
    <hyperlink ref="F11" r:id="rId2" display="www.prtunzb.org"/>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T47"/>
  <sheetViews>
    <sheetView showGridLines="0" zoomScaleSheetLayoutView="115" zoomScalePageLayoutView="0" workbookViewId="0" topLeftCell="A1">
      <selection activeCell="A47" sqref="A47"/>
    </sheetView>
  </sheetViews>
  <sheetFormatPr defaultColWidth="9.140625" defaultRowHeight="15"/>
  <cols>
    <col min="1" max="1" width="6.8515625" style="3" customWidth="1"/>
    <col min="2" max="2" width="28.8515625" style="3" customWidth="1"/>
    <col min="3" max="4" width="29.140625" style="3" customWidth="1"/>
    <col min="5" max="5" width="1.57421875" style="3" customWidth="1"/>
    <col min="6" max="16384" width="9.140625" style="3" customWidth="1"/>
  </cols>
  <sheetData>
    <row r="1" spans="1:8" ht="20.25">
      <c r="A1" s="276" t="str">
        <f>'DATA ENTRY'!B482</f>
        <v>Proceedings of the Mandal Eduacational Officer, M.P Domakonda</v>
      </c>
      <c r="B1" s="276"/>
      <c r="C1" s="276"/>
      <c r="D1" s="276"/>
      <c r="E1" s="2"/>
      <c r="F1" s="2"/>
      <c r="G1" s="2"/>
      <c r="H1" s="2"/>
    </row>
    <row r="2" spans="1:8" ht="18.75">
      <c r="A2" s="277" t="str">
        <f>'DATA ENTRY'!B483</f>
        <v>Present: Sri. G.Ambaiah, B.Sc, B.Ed.</v>
      </c>
      <c r="B2" s="277"/>
      <c r="C2" s="277"/>
      <c r="D2" s="277"/>
      <c r="E2" s="4"/>
      <c r="F2" s="4"/>
      <c r="G2" s="4"/>
      <c r="H2" s="4"/>
    </row>
    <row r="3" ht="5.25" customHeight="1"/>
    <row r="4" spans="1:4" s="5" customFormat="1" ht="15.75">
      <c r="A4" s="5" t="s">
        <v>95</v>
      </c>
      <c r="D4" s="6" t="s">
        <v>96</v>
      </c>
    </row>
    <row r="5" s="5" customFormat="1" ht="9.75" customHeight="1"/>
    <row r="6" spans="1:8" s="5" customFormat="1" ht="21.75" customHeight="1">
      <c r="A6" s="7" t="s">
        <v>97</v>
      </c>
      <c r="B6" s="278" t="str">
        <f>'DATA ENTRY'!B486</f>
        <v>School Education - Sri. P.Srinivas Reddy, SGT , UPS Sitharampoor, Preponement of Increment Date on par with junior's Increment Date - Orders - Issued.</v>
      </c>
      <c r="C6" s="278"/>
      <c r="D6" s="278"/>
      <c r="E6" s="8"/>
      <c r="F6" s="8"/>
      <c r="G6" s="8"/>
      <c r="H6" s="8"/>
    </row>
    <row r="7" spans="2:8" s="5" customFormat="1" ht="21.75" customHeight="1">
      <c r="B7" s="278"/>
      <c r="C7" s="278"/>
      <c r="D7" s="278"/>
      <c r="E7" s="8"/>
      <c r="F7" s="8"/>
      <c r="G7" s="8"/>
      <c r="H7" s="8"/>
    </row>
    <row r="8" s="5" customFormat="1" ht="6" customHeight="1"/>
    <row r="9" spans="1:2" s="5" customFormat="1" ht="15.75">
      <c r="A9" s="9" t="s">
        <v>98</v>
      </c>
      <c r="B9" s="10" t="s">
        <v>99</v>
      </c>
    </row>
    <row r="10" s="5" customFormat="1" ht="15.75">
      <c r="B10" s="10" t="s">
        <v>101</v>
      </c>
    </row>
    <row r="11" s="5" customFormat="1" ht="15.75">
      <c r="B11" s="10" t="s">
        <v>100</v>
      </c>
    </row>
    <row r="12" s="5" customFormat="1" ht="15.75">
      <c r="B12" s="10" t="s">
        <v>102</v>
      </c>
    </row>
    <row r="13" s="5" customFormat="1" ht="15.75">
      <c r="B13" s="5" t="s">
        <v>103</v>
      </c>
    </row>
    <row r="14" s="5" customFormat="1" ht="5.25" customHeight="1"/>
    <row r="15" spans="1:8" s="5" customFormat="1" ht="12" customHeight="1">
      <c r="A15" s="276" t="s">
        <v>105</v>
      </c>
      <c r="B15" s="276"/>
      <c r="C15" s="276"/>
      <c r="D15" s="276"/>
      <c r="E15" s="2"/>
      <c r="F15" s="2"/>
      <c r="G15" s="2"/>
      <c r="H15" s="2"/>
    </row>
    <row r="16" s="5" customFormat="1" ht="18.75">
      <c r="A16" s="4" t="s">
        <v>104</v>
      </c>
    </row>
    <row r="17" spans="1:4" s="5" customFormat="1" ht="63.75" customHeight="1">
      <c r="A17" s="278" t="str">
        <f>'DATA ENTRY'!B498</f>
        <v>            Adverting to the above subject cited that Sri. P.Srinivas Reddy, SGT , UPS Sitharampoor, Mandal Domakonda is senior to Sri. Putta.Srinivas Reddy, SGT , UPS Sithrampoor, Mandal Domakonda drawing the less pay than the Junior, particulars of the Senior and Junior are shown below.</v>
      </c>
      <c r="B17" s="278"/>
      <c r="C17" s="278"/>
      <c r="D17" s="278"/>
    </row>
    <row r="18" s="5" customFormat="1" ht="5.25" customHeight="1"/>
    <row r="19" spans="2:4" s="5" customFormat="1" ht="15.75">
      <c r="B19" s="11" t="s">
        <v>5</v>
      </c>
      <c r="C19" s="11" t="s">
        <v>0</v>
      </c>
      <c r="D19" s="11" t="s">
        <v>1</v>
      </c>
    </row>
    <row r="20" spans="2:4" s="5" customFormat="1" ht="32.25" customHeight="1">
      <c r="B20" s="11" t="s">
        <v>2</v>
      </c>
      <c r="C20" s="12" t="str">
        <f>'DATA ENTRY'!D3</f>
        <v>Sri. P.Srinivas Reddy</v>
      </c>
      <c r="D20" s="12" t="str">
        <f>'DATA ENTRY'!F3</f>
        <v>Sri. Putta.Srinivas Reddy</v>
      </c>
    </row>
    <row r="21" spans="2:4" s="5" customFormat="1" ht="15.75">
      <c r="B21" s="11" t="s">
        <v>3</v>
      </c>
      <c r="C21" s="11" t="str">
        <f>D21</f>
        <v>SGT </v>
      </c>
      <c r="D21" s="11" t="str">
        <f>'DATA ENTRY'!F4</f>
        <v>SGT </v>
      </c>
    </row>
    <row r="22" spans="2:4" s="5" customFormat="1" ht="15.75">
      <c r="B22" s="11" t="s">
        <v>134</v>
      </c>
      <c r="C22" s="13" t="str">
        <f>'DATA ENTRY'!G227</f>
        <v>18/01/2002</v>
      </c>
      <c r="D22" s="13" t="str">
        <f>'DATA ENTRY'!G230</f>
        <v>17/10/2002</v>
      </c>
    </row>
    <row r="23" spans="2:4" s="5" customFormat="1" ht="36.75" customHeight="1">
      <c r="B23" s="12" t="s">
        <v>135</v>
      </c>
      <c r="C23" s="13" t="str">
        <f>'DATA ENTRY'!G228</f>
        <v>18/01/2004</v>
      </c>
      <c r="D23" s="13" t="str">
        <f>'DATA ENTRY'!G231</f>
        <v>17/10/2004</v>
      </c>
    </row>
    <row r="24" spans="2:4" s="5" customFormat="1" ht="15.75">
      <c r="B24" s="11" t="s">
        <v>136</v>
      </c>
      <c r="C24" s="11" t="str">
        <f>'DATA ENTRY'!G295</f>
        <v>5470-12385 / 6350</v>
      </c>
      <c r="D24" s="11" t="str">
        <f>'DATA ENTRY'!G296</f>
        <v>5470-12385 / 6195</v>
      </c>
    </row>
    <row r="25" spans="2:4" s="5" customFormat="1" ht="15.75">
      <c r="B25" s="11" t="s">
        <v>137</v>
      </c>
      <c r="C25" s="11" t="str">
        <f>'DATA ENTRY'!G297</f>
        <v>10900-31550 / 11530</v>
      </c>
      <c r="D25" s="11" t="str">
        <f>'DATA ENTRY'!G298</f>
        <v>10900-31550 / 11530</v>
      </c>
    </row>
    <row r="26" spans="2:4" s="5" customFormat="1" ht="15.75">
      <c r="B26" s="283" t="s">
        <v>138</v>
      </c>
      <c r="C26" s="14" t="str">
        <f>'DATA ENTRY'!I291</f>
        <v>10900-31550</v>
      </c>
      <c r="D26" s="14" t="str">
        <f>'DATA ENTRY'!I292</f>
        <v>10900-31550</v>
      </c>
    </row>
    <row r="27" spans="2:4" s="5" customFormat="1" ht="15.75">
      <c r="B27" s="283"/>
      <c r="C27" s="15">
        <f>'DATA ENTRY'!I275</f>
        <v>11530</v>
      </c>
      <c r="D27" s="15">
        <f>'DATA ENTRY'!G279</f>
        <v>11860</v>
      </c>
    </row>
    <row r="28" spans="2:4" s="5" customFormat="1" ht="15.75">
      <c r="B28" s="16" t="s">
        <v>139</v>
      </c>
      <c r="C28" s="17" t="str">
        <f>'DATA ENTRY'!F246</f>
        <v>1.10.2008 i.e on Junior Increment Date</v>
      </c>
      <c r="D28" s="18"/>
    </row>
    <row r="29" spans="2:4" s="5" customFormat="1" ht="15.75">
      <c r="B29" s="279" t="str">
        <f>'DATA ENTRY'!F248</f>
        <v>Senior increment Date preponed on par with Junior Increment Date: 1.10.2008</v>
      </c>
      <c r="C29" s="280"/>
      <c r="D29" s="281"/>
    </row>
    <row r="30" spans="1:4" s="5" customFormat="1" ht="60" customHeight="1">
      <c r="A30" s="278" t="str">
        <f>'DATA ENTRY'!B488</f>
        <v>             Hence the incumbent Sri. P.Srinivas Reddy, SGT , UPS Sitharampoor Increment date has preponed on par with junior Sri. Putta.Srinivas Reddy, SGT , UPS Sithrampoor increment date i.e 1.10.2008 vide reference 2nd cited above, pay fixed time to time accordingly as shown below.</v>
      </c>
      <c r="B30" s="278"/>
      <c r="C30" s="278"/>
      <c r="D30" s="278"/>
    </row>
    <row r="31" spans="2:4" s="5" customFormat="1" ht="17.25" customHeight="1">
      <c r="B31" s="5" t="s">
        <v>197</v>
      </c>
      <c r="C31" s="5" t="s">
        <v>198</v>
      </c>
      <c r="D31" s="5" t="s">
        <v>199</v>
      </c>
    </row>
    <row r="32" spans="2:4" s="5" customFormat="1" ht="17.25" customHeight="1">
      <c r="B32" s="5" t="str">
        <f>'DATA ENTRY'!O319</f>
        <v>Annual Grade Increment</v>
      </c>
      <c r="C32" s="5" t="str">
        <f>'DATA ENTRY'!P319</f>
        <v>1.10.2008</v>
      </c>
      <c r="D32" s="5" t="str">
        <f>'DATA ENTRY'!P323</f>
        <v>Rs. 11860/-</v>
      </c>
    </row>
    <row r="33" spans="2:4" s="5" customFormat="1" ht="17.25" customHeight="1">
      <c r="B33" s="5" t="str">
        <f>'DATA ENTRY'!O320</f>
        <v>Annual Grade Increment</v>
      </c>
      <c r="C33" s="5" t="str">
        <f>'DATA ENTRY'!P320</f>
        <v>1.10.2009</v>
      </c>
      <c r="D33" s="5" t="str">
        <f>'DATA ENTRY'!P324</f>
        <v>Rs. 12190/-</v>
      </c>
    </row>
    <row r="34" spans="2:4" s="5" customFormat="1" ht="17.25" customHeight="1">
      <c r="B34" s="5" t="str">
        <f>'DATA ENTRY'!O321</f>
        <v>AAS</v>
      </c>
      <c r="C34" s="5" t="str">
        <f>'DATA ENTRY'!P321</f>
        <v>18.2.2010</v>
      </c>
      <c r="D34" s="5" t="str">
        <f>'DATA ENTRY'!P325</f>
        <v>Rs. 12550/-</v>
      </c>
    </row>
    <row r="35" spans="2:4" s="5" customFormat="1" ht="17.25" customHeight="1">
      <c r="B35" s="5" t="str">
        <f>'DATA ENTRY'!O322</f>
        <v>Annual Grade Increment</v>
      </c>
      <c r="C35" s="5" t="str">
        <f>'DATA ENTRY'!P322</f>
        <v>1.10.2010</v>
      </c>
      <c r="D35" s="5" t="str">
        <f>'DATA ENTRY'!P326</f>
        <v>Rs. 12910/-</v>
      </c>
    </row>
    <row r="36" spans="2:4" s="5" customFormat="1" ht="15.75">
      <c r="B36" s="284" t="s">
        <v>200</v>
      </c>
      <c r="C36" s="284"/>
      <c r="D36" s="5" t="str">
        <f>'DATA ENTRY'!I241</f>
        <v>1.10.2011</v>
      </c>
    </row>
    <row r="37" s="5" customFormat="1" ht="6.75" customHeight="1"/>
    <row r="38" spans="1:20" s="5" customFormat="1" ht="68.25" customHeight="1">
      <c r="A38" s="282" t="s">
        <v>106</v>
      </c>
      <c r="B38" s="282"/>
      <c r="C38" s="282"/>
      <c r="D38" s="282"/>
      <c r="E38" s="1"/>
      <c r="F38" s="1"/>
      <c r="G38" s="1"/>
      <c r="H38" s="1"/>
      <c r="I38" s="1"/>
      <c r="J38" s="1"/>
      <c r="K38" s="1"/>
      <c r="L38" s="1"/>
      <c r="M38" s="1"/>
      <c r="N38" s="1"/>
      <c r="O38" s="1"/>
      <c r="P38" s="1"/>
      <c r="Q38" s="1"/>
      <c r="R38" s="1"/>
      <c r="S38" s="1"/>
      <c r="T38" s="1"/>
    </row>
    <row r="39" s="5" customFormat="1" ht="20.25" customHeight="1"/>
    <row r="40" s="5" customFormat="1" ht="20.25" customHeight="1"/>
    <row r="41" s="5" customFormat="1" ht="15.75">
      <c r="D41" s="19" t="str">
        <f>'DATA ENTRY'!B161</f>
        <v>Mandal Eduacational Officer</v>
      </c>
    </row>
    <row r="42" spans="1:4" s="5" customFormat="1" ht="15.75">
      <c r="A42" s="5" t="s">
        <v>108</v>
      </c>
      <c r="D42" s="19" t="str">
        <f>'DATA ENTRY'!B481</f>
        <v>M.P Domakonda</v>
      </c>
    </row>
    <row r="43" s="5" customFormat="1" ht="15.75">
      <c r="A43" s="5" t="s">
        <v>109</v>
      </c>
    </row>
    <row r="44" s="5" customFormat="1" ht="15.75">
      <c r="A44" s="5" t="s">
        <v>110</v>
      </c>
    </row>
    <row r="45" s="5" customFormat="1" ht="15.75"/>
    <row r="46" s="5" customFormat="1" ht="15.75">
      <c r="A46" s="5" t="s">
        <v>204</v>
      </c>
    </row>
    <row r="47" s="5" customFormat="1" ht="15.75">
      <c r="A47" s="20" t="s">
        <v>205</v>
      </c>
    </row>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sheetData>
  <sheetProtection password="86F6" sheet="1" objects="1"/>
  <protectedRanges>
    <protectedRange sqref="A1:D45" name="Range1"/>
  </protectedRanges>
  <mergeCells count="10">
    <mergeCell ref="A38:D38"/>
    <mergeCell ref="B26:B27"/>
    <mergeCell ref="A30:D30"/>
    <mergeCell ref="B36:C36"/>
    <mergeCell ref="A1:D1"/>
    <mergeCell ref="A2:D2"/>
    <mergeCell ref="B6:D7"/>
    <mergeCell ref="B29:D29"/>
    <mergeCell ref="A17:D17"/>
    <mergeCell ref="A15:D15"/>
  </mergeCells>
  <printOptions/>
  <pageMargins left="0.7" right="0.4" top="0.75" bottom="0.75" header="0" footer="0"/>
  <pageSetup horizontalDpi="300" verticalDpi="300" orientation="portrait" paperSize="5" r:id="rId1"/>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E6" sqref="E6"/>
    </sheetView>
  </sheetViews>
  <sheetFormatPr defaultColWidth="9.140625" defaultRowHeight="15"/>
  <cols>
    <col min="1" max="1" width="6.140625" style="448" customWidth="1"/>
    <col min="2" max="2" width="22.57421875" style="448" customWidth="1"/>
    <col min="3" max="3" width="13.57421875" style="447" customWidth="1"/>
    <col min="4" max="4" width="10.140625" style="447" customWidth="1"/>
    <col min="5" max="5" width="8.421875" style="447" customWidth="1"/>
    <col min="6" max="6" width="7.421875" style="447" customWidth="1"/>
    <col min="7" max="7" width="9.28125" style="447" customWidth="1"/>
    <col min="8" max="8" width="9.7109375" style="447" customWidth="1"/>
    <col min="9" max="9" width="8.140625" style="447" customWidth="1"/>
    <col min="10" max="10" width="8.00390625" style="447" customWidth="1"/>
    <col min="11" max="11" width="9.57421875" style="447" customWidth="1"/>
    <col min="12" max="12" width="8.00390625" style="447" customWidth="1"/>
    <col min="13" max="13" width="7.57421875" style="447" customWidth="1"/>
    <col min="14" max="14" width="8.140625" style="447" customWidth="1"/>
    <col min="15" max="15" width="7.8515625" style="447" customWidth="1"/>
    <col min="16" max="16" width="9.7109375" style="447" customWidth="1"/>
    <col min="17" max="17" width="8.8515625" style="447" customWidth="1"/>
    <col min="18" max="16384" width="9.140625" style="447" customWidth="1"/>
  </cols>
  <sheetData>
    <row r="1" spans="1:17" ht="23.25" customHeight="1">
      <c r="A1" s="446" t="str">
        <f>'DATA ENTRY'!B504</f>
        <v>Increment Preponement Arrears of Sri. P.Srinivas Reddy, SGT ,UPS Sitharampoor, Mandal Domakonda</v>
      </c>
      <c r="B1" s="446"/>
      <c r="C1" s="446"/>
      <c r="D1" s="446"/>
      <c r="E1" s="446"/>
      <c r="F1" s="446"/>
      <c r="G1" s="446"/>
      <c r="H1" s="446"/>
      <c r="I1" s="446"/>
      <c r="J1" s="446"/>
      <c r="K1" s="446"/>
      <c r="L1" s="446"/>
      <c r="M1" s="446"/>
      <c r="N1" s="446"/>
      <c r="O1" s="446"/>
      <c r="P1" s="446"/>
      <c r="Q1" s="446"/>
    </row>
    <row r="2" ht="3.75" customHeight="1"/>
    <row r="3" spans="1:17" ht="21.75" customHeight="1">
      <c r="A3" s="449" t="s">
        <v>111</v>
      </c>
      <c r="B3" s="449" t="s">
        <v>465</v>
      </c>
      <c r="C3" s="449" t="s">
        <v>112</v>
      </c>
      <c r="D3" s="450" t="s">
        <v>181</v>
      </c>
      <c r="E3" s="450"/>
      <c r="F3" s="450"/>
      <c r="G3" s="450"/>
      <c r="H3" s="450" t="s">
        <v>182</v>
      </c>
      <c r="I3" s="450"/>
      <c r="J3" s="450"/>
      <c r="K3" s="450"/>
      <c r="L3" s="450" t="s">
        <v>183</v>
      </c>
      <c r="M3" s="450"/>
      <c r="N3" s="450"/>
      <c r="O3" s="450"/>
      <c r="P3" s="451" t="s">
        <v>184</v>
      </c>
      <c r="Q3" s="452" t="s">
        <v>185</v>
      </c>
    </row>
    <row r="4" spans="1:17" ht="21.75" customHeight="1">
      <c r="A4" s="453"/>
      <c r="B4" s="454"/>
      <c r="C4" s="453"/>
      <c r="D4" s="455" t="s">
        <v>113</v>
      </c>
      <c r="E4" s="455" t="s">
        <v>114</v>
      </c>
      <c r="F4" s="455" t="s">
        <v>115</v>
      </c>
      <c r="G4" s="455" t="s">
        <v>116</v>
      </c>
      <c r="H4" s="455" t="s">
        <v>113</v>
      </c>
      <c r="I4" s="455" t="s">
        <v>114</v>
      </c>
      <c r="J4" s="455" t="s">
        <v>115</v>
      </c>
      <c r="K4" s="455" t="s">
        <v>116</v>
      </c>
      <c r="L4" s="455" t="s">
        <v>113</v>
      </c>
      <c r="M4" s="455" t="s">
        <v>114</v>
      </c>
      <c r="N4" s="455" t="s">
        <v>115</v>
      </c>
      <c r="O4" s="455" t="s">
        <v>116</v>
      </c>
      <c r="P4" s="451"/>
      <c r="Q4" s="452"/>
    </row>
    <row r="5" spans="1:17" ht="22.5" customHeight="1">
      <c r="A5" s="456">
        <v>1</v>
      </c>
      <c r="B5" s="457" t="str">
        <f>'DATA ENTRY'!D3</f>
        <v>Sri. P.Srinivas Reddy</v>
      </c>
      <c r="C5" s="458" t="str">
        <f>'DATA ENTRY'!S501</f>
        <v>1-17/2/2010</v>
      </c>
      <c r="D5" s="455">
        <f>'DATA ENTRY'!T501</f>
        <v>7401</v>
      </c>
      <c r="E5" s="455">
        <f>ROUND(D5*16.264/100,0.1)</f>
        <v>1204</v>
      </c>
      <c r="F5" s="455">
        <f>ROUND(D5*'DATA ENTRY'!G148/100,0.1)</f>
        <v>740</v>
      </c>
      <c r="G5" s="455">
        <f>SUM(D5:F5)</f>
        <v>9345</v>
      </c>
      <c r="H5" s="455">
        <f>'DATA ENTRY'!U501</f>
        <v>7401</v>
      </c>
      <c r="I5" s="455">
        <f>ROUND(H5*16.264/100,0.1)</f>
        <v>1204</v>
      </c>
      <c r="J5" s="455">
        <f>ROUND(H5*'DATA ENTRY'!G148/100,0.1)</f>
        <v>740</v>
      </c>
      <c r="K5" s="455">
        <f>SUM(H5:J5)</f>
        <v>9345</v>
      </c>
      <c r="L5" s="455">
        <f>D5-H5</f>
        <v>0</v>
      </c>
      <c r="M5" s="455">
        <f>E5-I5</f>
        <v>0</v>
      </c>
      <c r="N5" s="455">
        <f>F5-J5</f>
        <v>0</v>
      </c>
      <c r="O5" s="455">
        <f>SUM(L5:N5)</f>
        <v>0</v>
      </c>
      <c r="P5" s="455">
        <f>O5</f>
        <v>0</v>
      </c>
      <c r="Q5" s="455">
        <f>O5-P5</f>
        <v>0</v>
      </c>
    </row>
    <row r="6" spans="1:17" ht="22.5" customHeight="1">
      <c r="A6" s="456">
        <v>2</v>
      </c>
      <c r="B6" s="459"/>
      <c r="C6" s="458" t="str">
        <f>'DATA ENTRY'!S502</f>
        <v>18-28/2/2010</v>
      </c>
      <c r="D6" s="455">
        <f>'DATA ENTRY'!T502</f>
        <v>4930</v>
      </c>
      <c r="E6" s="455">
        <f aca="true" t="shared" si="0" ref="E6:E17">ROUND(D6*16.264/100,0.1)</f>
        <v>802</v>
      </c>
      <c r="F6" s="455">
        <f>ROUND(D6*'DATA ENTRY'!G148/100,0.1)</f>
        <v>493</v>
      </c>
      <c r="G6" s="455">
        <f aca="true" t="shared" si="1" ref="G6:G17">SUM(D6:F6)</f>
        <v>6225</v>
      </c>
      <c r="H6" s="455">
        <f>'DATA ENTRY'!U502</f>
        <v>4930</v>
      </c>
      <c r="I6" s="455">
        <f aca="true" t="shared" si="2" ref="I6:I17">ROUND(H6*16.264/100,0.1)</f>
        <v>802</v>
      </c>
      <c r="J6" s="455">
        <f>ROUND(H6*'DATA ENTRY'!G148/100,0.1)</f>
        <v>493</v>
      </c>
      <c r="K6" s="455">
        <f aca="true" t="shared" si="3" ref="K6:K17">SUM(H6:J6)</f>
        <v>6225</v>
      </c>
      <c r="L6" s="455">
        <f aca="true" t="shared" si="4" ref="L6:L17">D6-H6</f>
        <v>0</v>
      </c>
      <c r="M6" s="455">
        <f aca="true" t="shared" si="5" ref="M6:M17">E6-I6</f>
        <v>0</v>
      </c>
      <c r="N6" s="455">
        <f aca="true" t="shared" si="6" ref="N6:N17">F6-J6</f>
        <v>0</v>
      </c>
      <c r="O6" s="455">
        <f aca="true" t="shared" si="7" ref="O6:O17">SUM(L6:N6)</f>
        <v>0</v>
      </c>
      <c r="P6" s="455">
        <f>IF('DATA ENTRY'!R502=21,0,'47 In'!O6)</f>
        <v>0</v>
      </c>
      <c r="Q6" s="455">
        <f aca="true" t="shared" si="8" ref="Q6:Q17">O6-P6</f>
        <v>0</v>
      </c>
    </row>
    <row r="7" spans="1:17" ht="22.5" customHeight="1">
      <c r="A7" s="456">
        <v>3</v>
      </c>
      <c r="B7" s="459" t="str">
        <f>'DATA ENTRY'!F4</f>
        <v>SGT </v>
      </c>
      <c r="C7" s="458" t="str">
        <f>'DATA ENTRY'!S503</f>
        <v>01/03/10</v>
      </c>
      <c r="D7" s="455">
        <f>'DATA ENTRY'!T503</f>
        <v>12550</v>
      </c>
      <c r="E7" s="455">
        <f t="shared" si="0"/>
        <v>2041</v>
      </c>
      <c r="F7" s="455">
        <f>ROUND(D7*'DATA ENTRY'!G148/100,0.1)</f>
        <v>1255</v>
      </c>
      <c r="G7" s="455">
        <f t="shared" si="1"/>
        <v>15846</v>
      </c>
      <c r="H7" s="455">
        <f>'DATA ENTRY'!U503</f>
        <v>12550</v>
      </c>
      <c r="I7" s="455">
        <f t="shared" si="2"/>
        <v>2041</v>
      </c>
      <c r="J7" s="455">
        <f>ROUND(H7*'DATA ENTRY'!G148/100,0.1)</f>
        <v>1255</v>
      </c>
      <c r="K7" s="455">
        <f t="shared" si="3"/>
        <v>15846</v>
      </c>
      <c r="L7" s="455">
        <f t="shared" si="4"/>
        <v>0</v>
      </c>
      <c r="M7" s="455">
        <f t="shared" si="5"/>
        <v>0</v>
      </c>
      <c r="N7" s="455">
        <f t="shared" si="6"/>
        <v>0</v>
      </c>
      <c r="O7" s="455">
        <f t="shared" si="7"/>
        <v>0</v>
      </c>
      <c r="P7" s="455">
        <v>0</v>
      </c>
      <c r="Q7" s="455">
        <f t="shared" si="8"/>
        <v>0</v>
      </c>
    </row>
    <row r="8" spans="1:17" ht="22.5" customHeight="1">
      <c r="A8" s="456">
        <v>4</v>
      </c>
      <c r="B8" s="459"/>
      <c r="C8" s="458" t="str">
        <f>'DATA ENTRY'!S504</f>
        <v>01/04/10</v>
      </c>
      <c r="D8" s="455">
        <f>'DATA ENTRY'!T504</f>
        <v>12550</v>
      </c>
      <c r="E8" s="455">
        <f t="shared" si="0"/>
        <v>2041</v>
      </c>
      <c r="F8" s="455">
        <f>ROUND(D8*'DATA ENTRY'!G148/100,0.1)</f>
        <v>1255</v>
      </c>
      <c r="G8" s="455">
        <f t="shared" si="1"/>
        <v>15846</v>
      </c>
      <c r="H8" s="455">
        <f>'DATA ENTRY'!U504</f>
        <v>12550</v>
      </c>
      <c r="I8" s="455">
        <f t="shared" si="2"/>
        <v>2041</v>
      </c>
      <c r="J8" s="455">
        <f>ROUND(H8*'DATA ENTRY'!G148/100,0.1)</f>
        <v>1255</v>
      </c>
      <c r="K8" s="455">
        <f t="shared" si="3"/>
        <v>15846</v>
      </c>
      <c r="L8" s="455">
        <f t="shared" si="4"/>
        <v>0</v>
      </c>
      <c r="M8" s="455">
        <f t="shared" si="5"/>
        <v>0</v>
      </c>
      <c r="N8" s="455">
        <f t="shared" si="6"/>
        <v>0</v>
      </c>
      <c r="O8" s="455">
        <f t="shared" si="7"/>
        <v>0</v>
      </c>
      <c r="P8" s="455">
        <v>0</v>
      </c>
      <c r="Q8" s="455">
        <f t="shared" si="8"/>
        <v>0</v>
      </c>
    </row>
    <row r="9" spans="1:17" ht="22.5" customHeight="1">
      <c r="A9" s="456">
        <v>5</v>
      </c>
      <c r="B9" s="459" t="str">
        <f>'DATA ENTRY'!D5</f>
        <v>UPS Sitharampoor</v>
      </c>
      <c r="C9" s="458" t="str">
        <f>'DATA ENTRY'!S505</f>
        <v>01/05/10</v>
      </c>
      <c r="D9" s="455">
        <f>'DATA ENTRY'!T505</f>
        <v>12550</v>
      </c>
      <c r="E9" s="455">
        <f t="shared" si="0"/>
        <v>2041</v>
      </c>
      <c r="F9" s="455">
        <f>ROUND(D9*'DATA ENTRY'!G148/100,0.1)</f>
        <v>1255</v>
      </c>
      <c r="G9" s="455">
        <f t="shared" si="1"/>
        <v>15846</v>
      </c>
      <c r="H9" s="455">
        <f>'DATA ENTRY'!U505</f>
        <v>12550</v>
      </c>
      <c r="I9" s="455">
        <f t="shared" si="2"/>
        <v>2041</v>
      </c>
      <c r="J9" s="455">
        <f>ROUND(H9*'DATA ENTRY'!G148/100,0.1)</f>
        <v>1255</v>
      </c>
      <c r="K9" s="455">
        <f t="shared" si="3"/>
        <v>15846</v>
      </c>
      <c r="L9" s="455">
        <f t="shared" si="4"/>
        <v>0</v>
      </c>
      <c r="M9" s="455">
        <f t="shared" si="5"/>
        <v>0</v>
      </c>
      <c r="N9" s="455">
        <f t="shared" si="6"/>
        <v>0</v>
      </c>
      <c r="O9" s="455">
        <f t="shared" si="7"/>
        <v>0</v>
      </c>
      <c r="P9" s="455">
        <v>0</v>
      </c>
      <c r="Q9" s="455">
        <f t="shared" si="8"/>
        <v>0</v>
      </c>
    </row>
    <row r="10" spans="1:17" ht="22.5" customHeight="1">
      <c r="A10" s="456">
        <v>6</v>
      </c>
      <c r="B10" s="459"/>
      <c r="C10" s="458" t="str">
        <f>'DATA ENTRY'!S506</f>
        <v>01/06/10</v>
      </c>
      <c r="D10" s="455">
        <f>'DATA ENTRY'!T506</f>
        <v>12550</v>
      </c>
      <c r="E10" s="455">
        <f t="shared" si="0"/>
        <v>2041</v>
      </c>
      <c r="F10" s="455">
        <f>ROUND(D10*'DATA ENTRY'!G148/100,0.1)</f>
        <v>1255</v>
      </c>
      <c r="G10" s="455">
        <f t="shared" si="1"/>
        <v>15846</v>
      </c>
      <c r="H10" s="455">
        <f>'DATA ENTRY'!U506</f>
        <v>12550</v>
      </c>
      <c r="I10" s="455">
        <f t="shared" si="2"/>
        <v>2041</v>
      </c>
      <c r="J10" s="455">
        <f>ROUND(H10*'DATA ENTRY'!G148/100,0.1)</f>
        <v>1255</v>
      </c>
      <c r="K10" s="455">
        <f t="shared" si="3"/>
        <v>15846</v>
      </c>
      <c r="L10" s="455">
        <f t="shared" si="4"/>
        <v>0</v>
      </c>
      <c r="M10" s="455">
        <f t="shared" si="5"/>
        <v>0</v>
      </c>
      <c r="N10" s="455">
        <f t="shared" si="6"/>
        <v>0</v>
      </c>
      <c r="O10" s="455">
        <f t="shared" si="7"/>
        <v>0</v>
      </c>
      <c r="P10" s="455">
        <v>0</v>
      </c>
      <c r="Q10" s="455">
        <f t="shared" si="8"/>
        <v>0</v>
      </c>
    </row>
    <row r="11" spans="1:17" ht="22.5" customHeight="1">
      <c r="A11" s="456">
        <v>7</v>
      </c>
      <c r="B11" s="460" t="s">
        <v>480</v>
      </c>
      <c r="C11" s="458" t="str">
        <f>'DATA ENTRY'!S507</f>
        <v>01/07/10</v>
      </c>
      <c r="D11" s="455">
        <f>'DATA ENTRY'!T507</f>
        <v>12550</v>
      </c>
      <c r="E11" s="455">
        <f t="shared" si="0"/>
        <v>2041</v>
      </c>
      <c r="F11" s="455">
        <f>ROUND(D11*'DATA ENTRY'!G148/100,0.1)</f>
        <v>1255</v>
      </c>
      <c r="G11" s="455">
        <f t="shared" si="1"/>
        <v>15846</v>
      </c>
      <c r="H11" s="455">
        <f>'DATA ENTRY'!U507</f>
        <v>12550</v>
      </c>
      <c r="I11" s="455">
        <f t="shared" si="2"/>
        <v>2041</v>
      </c>
      <c r="J11" s="455">
        <f>ROUND(H11*'DATA ENTRY'!G148/100,0.1)</f>
        <v>1255</v>
      </c>
      <c r="K11" s="455">
        <f t="shared" si="3"/>
        <v>15846</v>
      </c>
      <c r="L11" s="455">
        <f t="shared" si="4"/>
        <v>0</v>
      </c>
      <c r="M11" s="455">
        <f t="shared" si="5"/>
        <v>0</v>
      </c>
      <c r="N11" s="455">
        <f t="shared" si="6"/>
        <v>0</v>
      </c>
      <c r="O11" s="455">
        <f t="shared" si="7"/>
        <v>0</v>
      </c>
      <c r="P11" s="455">
        <v>0</v>
      </c>
      <c r="Q11" s="455">
        <f t="shared" si="8"/>
        <v>0</v>
      </c>
    </row>
    <row r="12" spans="1:17" ht="22.5" customHeight="1">
      <c r="A12" s="456">
        <v>8</v>
      </c>
      <c r="B12" s="460">
        <f>'DATA ENTRY'!G18</f>
        <v>2026087</v>
      </c>
      <c r="C12" s="458" t="str">
        <f>'DATA ENTRY'!S508</f>
        <v>01/08/10</v>
      </c>
      <c r="D12" s="455">
        <f>'DATA ENTRY'!T508</f>
        <v>12550</v>
      </c>
      <c r="E12" s="455">
        <f t="shared" si="0"/>
        <v>2041</v>
      </c>
      <c r="F12" s="455">
        <f>ROUND(D12*'DATA ENTRY'!G148/100,0.1)</f>
        <v>1255</v>
      </c>
      <c r="G12" s="455">
        <f t="shared" si="1"/>
        <v>15846</v>
      </c>
      <c r="H12" s="455">
        <f>'DATA ENTRY'!U508</f>
        <v>12550</v>
      </c>
      <c r="I12" s="455">
        <f t="shared" si="2"/>
        <v>2041</v>
      </c>
      <c r="J12" s="455">
        <f>ROUND(H12*'DATA ENTRY'!G148/100,0.1)</f>
        <v>1255</v>
      </c>
      <c r="K12" s="455">
        <f t="shared" si="3"/>
        <v>15846</v>
      </c>
      <c r="L12" s="455">
        <f t="shared" si="4"/>
        <v>0</v>
      </c>
      <c r="M12" s="455">
        <f t="shared" si="5"/>
        <v>0</v>
      </c>
      <c r="N12" s="455">
        <f t="shared" si="6"/>
        <v>0</v>
      </c>
      <c r="O12" s="455">
        <f t="shared" si="7"/>
        <v>0</v>
      </c>
      <c r="P12" s="455">
        <v>0</v>
      </c>
      <c r="Q12" s="455">
        <f t="shared" si="8"/>
        <v>0</v>
      </c>
    </row>
    <row r="13" spans="1:17" ht="22.5" customHeight="1">
      <c r="A13" s="456">
        <v>9</v>
      </c>
      <c r="B13" s="461"/>
      <c r="C13" s="458" t="str">
        <f>'DATA ENTRY'!S509</f>
        <v>01/09/10</v>
      </c>
      <c r="D13" s="455">
        <f>'DATA ENTRY'!T509</f>
        <v>12550</v>
      </c>
      <c r="E13" s="455">
        <f t="shared" si="0"/>
        <v>2041</v>
      </c>
      <c r="F13" s="455">
        <f>ROUND(D13*'DATA ENTRY'!G148/100,0.1)</f>
        <v>1255</v>
      </c>
      <c r="G13" s="455">
        <f t="shared" si="1"/>
        <v>15846</v>
      </c>
      <c r="H13" s="455">
        <f>'DATA ENTRY'!U509</f>
        <v>12550</v>
      </c>
      <c r="I13" s="455">
        <f t="shared" si="2"/>
        <v>2041</v>
      </c>
      <c r="J13" s="455">
        <f>ROUND(H13*'DATA ENTRY'!G148/100,0.1)</f>
        <v>1255</v>
      </c>
      <c r="K13" s="455">
        <f t="shared" si="3"/>
        <v>15846</v>
      </c>
      <c r="L13" s="455">
        <f t="shared" si="4"/>
        <v>0</v>
      </c>
      <c r="M13" s="455">
        <f t="shared" si="5"/>
        <v>0</v>
      </c>
      <c r="N13" s="455">
        <f t="shared" si="6"/>
        <v>0</v>
      </c>
      <c r="O13" s="455">
        <f t="shared" si="7"/>
        <v>0</v>
      </c>
      <c r="P13" s="455">
        <v>0</v>
      </c>
      <c r="Q13" s="455">
        <f t="shared" si="8"/>
        <v>0</v>
      </c>
    </row>
    <row r="14" spans="1:17" ht="22.5" customHeight="1">
      <c r="A14" s="456">
        <v>10</v>
      </c>
      <c r="B14" s="461"/>
      <c r="C14" s="458" t="str">
        <f>'DATA ENTRY'!S510</f>
        <v>01/10/10</v>
      </c>
      <c r="D14" s="455">
        <f>'DATA ENTRY'!T510</f>
        <v>12910</v>
      </c>
      <c r="E14" s="455">
        <f t="shared" si="0"/>
        <v>2100</v>
      </c>
      <c r="F14" s="455">
        <f>ROUND(D14*'DATA ENTRY'!G148/100,0.1)</f>
        <v>1291</v>
      </c>
      <c r="G14" s="455">
        <f t="shared" si="1"/>
        <v>16301</v>
      </c>
      <c r="H14" s="455">
        <f>'DATA ENTRY'!U510</f>
        <v>12550</v>
      </c>
      <c r="I14" s="455">
        <f t="shared" si="2"/>
        <v>2041</v>
      </c>
      <c r="J14" s="455">
        <f>ROUND(H14*'DATA ENTRY'!G148/100,0.1)</f>
        <v>1255</v>
      </c>
      <c r="K14" s="455">
        <f t="shared" si="3"/>
        <v>15846</v>
      </c>
      <c r="L14" s="455">
        <f t="shared" si="4"/>
        <v>360</v>
      </c>
      <c r="M14" s="455">
        <f t="shared" si="5"/>
        <v>59</v>
      </c>
      <c r="N14" s="455">
        <f t="shared" si="6"/>
        <v>36</v>
      </c>
      <c r="O14" s="455">
        <f t="shared" si="7"/>
        <v>455</v>
      </c>
      <c r="P14" s="455">
        <v>0</v>
      </c>
      <c r="Q14" s="455">
        <f t="shared" si="8"/>
        <v>455</v>
      </c>
    </row>
    <row r="15" spans="1:17" ht="22.5" customHeight="1">
      <c r="A15" s="456">
        <v>11</v>
      </c>
      <c r="B15" s="461"/>
      <c r="C15" s="458" t="str">
        <f>'DATA ENTRY'!S511</f>
        <v>01/11/10</v>
      </c>
      <c r="D15" s="455">
        <f>IF('DATA ENTRY'!G157&lt;2,0,'DATA ENTRY'!T511)</f>
        <v>12910</v>
      </c>
      <c r="E15" s="455">
        <f t="shared" si="0"/>
        <v>2100</v>
      </c>
      <c r="F15" s="455">
        <f>ROUND(D15*'DATA ENTRY'!G148/100,0.1)</f>
        <v>1291</v>
      </c>
      <c r="G15" s="455">
        <f t="shared" si="1"/>
        <v>16301</v>
      </c>
      <c r="H15" s="455">
        <f>IF('DATA ENTRY'!G157&lt;2,0,'DATA ENTRY'!U511)</f>
        <v>12550</v>
      </c>
      <c r="I15" s="455">
        <f t="shared" si="2"/>
        <v>2041</v>
      </c>
      <c r="J15" s="455">
        <f>ROUND(H15*'DATA ENTRY'!G148/100,0.1)</f>
        <v>1255</v>
      </c>
      <c r="K15" s="455">
        <f t="shared" si="3"/>
        <v>15846</v>
      </c>
      <c r="L15" s="455">
        <f t="shared" si="4"/>
        <v>360</v>
      </c>
      <c r="M15" s="455">
        <f t="shared" si="5"/>
        <v>59</v>
      </c>
      <c r="N15" s="455">
        <f t="shared" si="6"/>
        <v>36</v>
      </c>
      <c r="O15" s="455">
        <f t="shared" si="7"/>
        <v>455</v>
      </c>
      <c r="P15" s="455">
        <v>0</v>
      </c>
      <c r="Q15" s="455">
        <f t="shared" si="8"/>
        <v>455</v>
      </c>
    </row>
    <row r="16" spans="1:17" ht="22.5" customHeight="1">
      <c r="A16" s="456">
        <v>12</v>
      </c>
      <c r="B16" s="461"/>
      <c r="C16" s="458" t="str">
        <f>'DATA ENTRY'!S512</f>
        <v>01/12/10</v>
      </c>
      <c r="D16" s="455">
        <f>IF('DATA ENTRY'!G157&lt;3,0,'DATA ENTRY'!T512)</f>
        <v>12910</v>
      </c>
      <c r="E16" s="455">
        <f t="shared" si="0"/>
        <v>2100</v>
      </c>
      <c r="F16" s="455">
        <f>ROUND(D16*'DATA ENTRY'!G148/100,0.1)</f>
        <v>1291</v>
      </c>
      <c r="G16" s="455">
        <f t="shared" si="1"/>
        <v>16301</v>
      </c>
      <c r="H16" s="455">
        <f>IF('DATA ENTRY'!G157&lt;3,0,'DATA ENTRY'!U512)</f>
        <v>12550</v>
      </c>
      <c r="I16" s="455">
        <f t="shared" si="2"/>
        <v>2041</v>
      </c>
      <c r="J16" s="455">
        <f>ROUND(H16*'DATA ENTRY'!G148/100,0.1)</f>
        <v>1255</v>
      </c>
      <c r="K16" s="455">
        <f t="shared" si="3"/>
        <v>15846</v>
      </c>
      <c r="L16" s="455">
        <f t="shared" si="4"/>
        <v>360</v>
      </c>
      <c r="M16" s="455">
        <f t="shared" si="5"/>
        <v>59</v>
      </c>
      <c r="N16" s="455">
        <f t="shared" si="6"/>
        <v>36</v>
      </c>
      <c r="O16" s="455">
        <f t="shared" si="7"/>
        <v>455</v>
      </c>
      <c r="P16" s="455">
        <v>0</v>
      </c>
      <c r="Q16" s="455">
        <f t="shared" si="8"/>
        <v>455</v>
      </c>
    </row>
    <row r="17" spans="1:17" ht="22.5" customHeight="1">
      <c r="A17" s="456">
        <v>13</v>
      </c>
      <c r="B17" s="462"/>
      <c r="C17" s="458" t="str">
        <f>'DATA ENTRY'!S513</f>
        <v>01/01/11</v>
      </c>
      <c r="D17" s="455">
        <f>IF('DATA ENTRY'!G157&lt;4,0,'DATA ENTRY'!T513)</f>
        <v>0</v>
      </c>
      <c r="E17" s="455">
        <f t="shared" si="0"/>
        <v>0</v>
      </c>
      <c r="F17" s="455">
        <f>ROUND(D17*'DATA ENTRY'!G148/100,0.1)</f>
        <v>0</v>
      </c>
      <c r="G17" s="455">
        <f t="shared" si="1"/>
        <v>0</v>
      </c>
      <c r="H17" s="455">
        <f>IF('DATA ENTRY'!G157&lt;4,0,'DATA ENTRY'!U513)</f>
        <v>0</v>
      </c>
      <c r="I17" s="455">
        <f t="shared" si="2"/>
        <v>0</v>
      </c>
      <c r="J17" s="455">
        <f>ROUND(H17*'DATA ENTRY'!G148/100,0.1)</f>
        <v>0</v>
      </c>
      <c r="K17" s="455">
        <f t="shared" si="3"/>
        <v>0</v>
      </c>
      <c r="L17" s="455">
        <f t="shared" si="4"/>
        <v>0</v>
      </c>
      <c r="M17" s="455">
        <f t="shared" si="5"/>
        <v>0</v>
      </c>
      <c r="N17" s="455">
        <f t="shared" si="6"/>
        <v>0</v>
      </c>
      <c r="O17" s="455">
        <f t="shared" si="7"/>
        <v>0</v>
      </c>
      <c r="P17" s="455">
        <v>0</v>
      </c>
      <c r="Q17" s="455">
        <f t="shared" si="8"/>
        <v>0</v>
      </c>
    </row>
    <row r="18" spans="1:17" ht="36.75" customHeight="1">
      <c r="A18" s="463" t="s">
        <v>116</v>
      </c>
      <c r="B18" s="453"/>
      <c r="C18" s="463"/>
      <c r="D18" s="455">
        <f aca="true" t="shared" si="9" ref="D18:Q18">SUM(D5:D17)</f>
        <v>138911</v>
      </c>
      <c r="E18" s="455">
        <f t="shared" si="9"/>
        <v>22593</v>
      </c>
      <c r="F18" s="455">
        <f t="shared" si="9"/>
        <v>13891</v>
      </c>
      <c r="G18" s="455">
        <f t="shared" si="9"/>
        <v>175395</v>
      </c>
      <c r="H18" s="455">
        <f t="shared" si="9"/>
        <v>137831</v>
      </c>
      <c r="I18" s="455">
        <f t="shared" si="9"/>
        <v>22416</v>
      </c>
      <c r="J18" s="455">
        <f t="shared" si="9"/>
        <v>13783</v>
      </c>
      <c r="K18" s="455">
        <f t="shared" si="9"/>
        <v>174030</v>
      </c>
      <c r="L18" s="455">
        <f t="shared" si="9"/>
        <v>1080</v>
      </c>
      <c r="M18" s="455">
        <f t="shared" si="9"/>
        <v>177</v>
      </c>
      <c r="N18" s="455">
        <f t="shared" si="9"/>
        <v>108</v>
      </c>
      <c r="O18" s="455">
        <f t="shared" si="9"/>
        <v>1365</v>
      </c>
      <c r="P18" s="455">
        <f t="shared" si="9"/>
        <v>0</v>
      </c>
      <c r="Q18" s="455">
        <f t="shared" si="9"/>
        <v>1365</v>
      </c>
    </row>
    <row r="19" ht="11.25" customHeight="1"/>
    <row r="20" spans="2:17" ht="22.5" customHeight="1">
      <c r="B20" s="464" t="s">
        <v>481</v>
      </c>
      <c r="L20" s="465" t="str">
        <f>'DATA ENTRY'!E716</f>
        <v>Passed Per Rs. 1365-00 (One Thousand Three Hundred and Sixty five rupees only)</v>
      </c>
      <c r="M20" s="465"/>
      <c r="N20" s="465"/>
      <c r="O20" s="465"/>
      <c r="P20" s="465"/>
      <c r="Q20" s="465"/>
    </row>
    <row r="21" spans="2:17" ht="15">
      <c r="B21" s="447" t="s">
        <v>482</v>
      </c>
      <c r="L21" s="465"/>
      <c r="M21" s="465"/>
      <c r="N21" s="465"/>
      <c r="O21" s="465"/>
      <c r="P21" s="465"/>
      <c r="Q21" s="465"/>
    </row>
    <row r="22" ht="15">
      <c r="B22" s="447" t="s">
        <v>483</v>
      </c>
    </row>
    <row r="23" ht="15">
      <c r="B23" s="447" t="s">
        <v>484</v>
      </c>
    </row>
  </sheetData>
  <sheetProtection password="D7F0" sheet="1"/>
  <mergeCells count="14">
    <mergeCell ref="P3:P4"/>
    <mergeCell ref="Q3:Q4"/>
    <mergeCell ref="A3:A4"/>
    <mergeCell ref="C3:C4"/>
    <mergeCell ref="B3:B4"/>
    <mergeCell ref="B5:B6"/>
    <mergeCell ref="B7:B8"/>
    <mergeCell ref="B9:B10"/>
    <mergeCell ref="L20:Q21"/>
    <mergeCell ref="A1:Q1"/>
    <mergeCell ref="A18:C18"/>
    <mergeCell ref="D3:G3"/>
    <mergeCell ref="H3:K3"/>
    <mergeCell ref="L3:O3"/>
  </mergeCells>
  <printOptions/>
  <pageMargins left="0.7" right="0.7" top="0.5" bottom="0.5" header="0" footer="0"/>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AK69"/>
  <sheetViews>
    <sheetView zoomScalePageLayoutView="0" workbookViewId="0" topLeftCell="S1">
      <selection activeCell="AC10" sqref="AC10"/>
    </sheetView>
  </sheetViews>
  <sheetFormatPr defaultColWidth="9.140625" defaultRowHeight="15"/>
  <cols>
    <col min="1" max="1" width="5.421875" style="22" customWidth="1"/>
    <col min="2" max="2" width="3.8515625" style="22" customWidth="1"/>
    <col min="3" max="3" width="8.7109375" style="22" customWidth="1"/>
    <col min="4" max="4" width="12.57421875" style="22" customWidth="1"/>
    <col min="5" max="5" width="4.421875" style="22" customWidth="1"/>
    <col min="6" max="6" width="5.00390625" style="22" customWidth="1"/>
    <col min="7" max="7" width="4.7109375" style="22" customWidth="1"/>
    <col min="8" max="8" width="6.28125" style="22" customWidth="1"/>
    <col min="9" max="9" width="3.8515625" style="22" customWidth="1"/>
    <col min="10" max="10" width="9.7109375" style="22" customWidth="1"/>
    <col min="11" max="11" width="3.8515625" style="22" customWidth="1"/>
    <col min="12" max="12" width="2.00390625" style="22" customWidth="1"/>
    <col min="13" max="13" width="3.28125" style="22" customWidth="1"/>
    <col min="14" max="14" width="2.28125" style="22" hidden="1" customWidth="1"/>
    <col min="15" max="15" width="3.8515625" style="22" customWidth="1"/>
    <col min="16" max="16" width="2.00390625" style="22" hidden="1" customWidth="1"/>
    <col min="17" max="17" width="19.140625" style="22" customWidth="1"/>
    <col min="18" max="18" width="6.7109375" style="22" hidden="1" customWidth="1"/>
    <col min="19" max="19" width="29.140625" style="22" customWidth="1"/>
    <col min="20" max="20" width="10.421875" style="22" customWidth="1"/>
    <col min="21" max="21" width="3.7109375" style="22" customWidth="1"/>
    <col min="22" max="22" width="3.57421875" style="22" customWidth="1"/>
    <col min="23" max="23" width="4.00390625" style="22" customWidth="1"/>
    <col min="24" max="24" width="3.28125" style="22" customWidth="1"/>
    <col min="25" max="25" width="3.57421875" style="22" customWidth="1"/>
    <col min="26" max="26" width="3.28125" style="22" customWidth="1"/>
    <col min="27" max="27" width="3.7109375" style="22" customWidth="1"/>
    <col min="28" max="28" width="4.8515625" style="22" customWidth="1"/>
    <col min="29" max="29" width="4.28125" style="22" customWidth="1"/>
    <col min="30" max="30" width="5.28125" style="22" customWidth="1"/>
    <col min="31" max="31" width="2.421875" style="22" customWidth="1"/>
    <col min="32" max="32" width="2.7109375" style="22" customWidth="1"/>
    <col min="33" max="33" width="4.8515625" style="22" customWidth="1"/>
    <col min="34" max="34" width="17.57421875" style="22" customWidth="1"/>
    <col min="35" max="35" width="3.8515625" style="22" customWidth="1"/>
    <col min="36" max="36" width="2.7109375" style="22" customWidth="1"/>
    <col min="37" max="37" width="15.7109375" style="22" customWidth="1"/>
    <col min="38" max="38" width="5.00390625" style="22" customWidth="1"/>
    <col min="39" max="16384" width="9.140625" style="22" customWidth="1"/>
  </cols>
  <sheetData>
    <row r="1" spans="1:37" ht="15" customHeight="1">
      <c r="A1" s="288" t="s">
        <v>206</v>
      </c>
      <c r="B1" s="289"/>
      <c r="C1" s="289"/>
      <c r="D1" s="289"/>
      <c r="E1" s="289"/>
      <c r="F1" s="289"/>
      <c r="G1" s="289"/>
      <c r="H1" s="289"/>
      <c r="I1" s="289"/>
      <c r="J1" s="289"/>
      <c r="K1" s="289"/>
      <c r="L1" s="289"/>
      <c r="M1" s="289"/>
      <c r="N1" s="289"/>
      <c r="O1" s="289"/>
      <c r="P1" s="289"/>
      <c r="Q1" s="289"/>
      <c r="R1" s="289"/>
      <c r="S1" s="21"/>
      <c r="T1" s="287" t="str">
        <f>'DATA ENTRY'!B505</f>
        <v>Increment Preponement Arrears of Sri. P.Srinivas Reddy, SGT ,UPS Sitharampoor</v>
      </c>
      <c r="U1" s="287"/>
      <c r="V1" s="287"/>
      <c r="W1" s="287"/>
      <c r="X1" s="287"/>
      <c r="Y1" s="287"/>
      <c r="Z1" s="287"/>
      <c r="AA1" s="287"/>
      <c r="AB1" s="287"/>
      <c r="AC1" s="287"/>
      <c r="AD1" s="287"/>
      <c r="AE1" s="287"/>
      <c r="AF1" s="287"/>
      <c r="AG1" s="287"/>
      <c r="AH1" s="287"/>
      <c r="AI1" s="287"/>
      <c r="AJ1" s="287"/>
      <c r="AK1" s="287"/>
    </row>
    <row r="2" spans="2:37" ht="15" customHeight="1">
      <c r="B2" s="23" t="s">
        <v>207</v>
      </c>
      <c r="C2" s="23"/>
      <c r="D2" s="23"/>
      <c r="J2" s="290"/>
      <c r="K2" s="290"/>
      <c r="L2" s="290"/>
      <c r="M2" s="290"/>
      <c r="N2" s="290"/>
      <c r="O2" s="290"/>
      <c r="T2" s="287"/>
      <c r="U2" s="287"/>
      <c r="V2" s="287"/>
      <c r="W2" s="287"/>
      <c r="X2" s="287"/>
      <c r="Y2" s="287"/>
      <c r="Z2" s="287"/>
      <c r="AA2" s="287"/>
      <c r="AB2" s="287"/>
      <c r="AC2" s="287"/>
      <c r="AD2" s="287"/>
      <c r="AE2" s="287"/>
      <c r="AF2" s="287"/>
      <c r="AG2" s="287"/>
      <c r="AH2" s="287"/>
      <c r="AI2" s="287"/>
      <c r="AJ2" s="287"/>
      <c r="AK2" s="287"/>
    </row>
    <row r="3" spans="1:37" ht="15" customHeight="1">
      <c r="A3" s="357" t="str">
        <f>'DATA ENTRY'!E718</f>
        <v>Under Rupees One Thousand Three Hundred and Sixty six rupees only</v>
      </c>
      <c r="B3" s="23" t="s">
        <v>208</v>
      </c>
      <c r="C3" s="23"/>
      <c r="D3" s="23"/>
      <c r="J3" s="290">
        <f>Z43</f>
        <v>1365</v>
      </c>
      <c r="K3" s="290"/>
      <c r="L3" s="290"/>
      <c r="M3" s="290"/>
      <c r="N3" s="290"/>
      <c r="O3" s="290"/>
      <c r="T3" s="291" t="s">
        <v>209</v>
      </c>
      <c r="U3" s="291"/>
      <c r="V3" s="291"/>
      <c r="W3" s="291"/>
      <c r="X3" s="291"/>
      <c r="Y3" s="291"/>
      <c r="Z3" s="291"/>
      <c r="AA3" s="291"/>
      <c r="AB3" s="291"/>
      <c r="AC3" s="291"/>
      <c r="AD3" s="291"/>
      <c r="AE3" s="291"/>
      <c r="AF3" s="291"/>
      <c r="AG3" s="291"/>
      <c r="AH3" s="291"/>
      <c r="AI3" s="291"/>
      <c r="AJ3" s="291"/>
      <c r="AK3" s="291"/>
    </row>
    <row r="4" spans="1:37" ht="15" customHeight="1" thickBot="1">
      <c r="A4" s="357"/>
      <c r="B4" s="23" t="s">
        <v>210</v>
      </c>
      <c r="C4" s="23"/>
      <c r="D4" s="23"/>
      <c r="J4" s="292"/>
      <c r="K4" s="292"/>
      <c r="L4" s="292"/>
      <c r="M4" s="292"/>
      <c r="N4" s="292"/>
      <c r="O4" s="292"/>
      <c r="T4" s="293" t="s">
        <v>211</v>
      </c>
      <c r="U4" s="293"/>
      <c r="V4" s="293"/>
      <c r="W4" s="293"/>
      <c r="X4" s="293"/>
      <c r="Y4" s="293"/>
      <c r="Z4" s="293"/>
      <c r="AA4" s="293"/>
      <c r="AB4" s="293"/>
      <c r="AC4" s="293"/>
      <c r="AD4" s="293"/>
      <c r="AE4" s="293"/>
      <c r="AF4" s="293"/>
      <c r="AG4" s="293"/>
      <c r="AH4" s="293"/>
      <c r="AI4" s="293"/>
      <c r="AJ4" s="293"/>
      <c r="AK4" s="293"/>
    </row>
    <row r="5" spans="1:37" ht="15" customHeight="1">
      <c r="A5" s="357"/>
      <c r="B5" s="24"/>
      <c r="T5" s="25" t="s">
        <v>212</v>
      </c>
      <c r="U5" s="26"/>
      <c r="V5" s="26"/>
      <c r="W5" s="26"/>
      <c r="X5" s="26"/>
      <c r="Y5" s="27"/>
      <c r="Z5" s="27"/>
      <c r="AA5" s="28"/>
      <c r="AB5" s="466">
        <f>IF('DATA ENTRY'!G157&lt;2,1,0)</f>
        <v>0</v>
      </c>
      <c r="AC5" s="466">
        <f>IF(AND('DATA ENTRY'!G157&lt;2),2,IF(AND('DATA ENTRY'!G157&lt;3),1,IF(AND('DATA ENTRY'!G157&lt;4),2,IF(AND('DATA ENTRY'!G157&lt;5),3,IF(AND('DATA ENTRY'!G157&lt;6),4,"")))))</f>
        <v>2</v>
      </c>
      <c r="AD5" s="285">
        <f>IF('DATA ENTRY'!G157&lt;2,2010,2011)</f>
        <v>2011</v>
      </c>
      <c r="AE5" s="286"/>
      <c r="AH5" s="29"/>
      <c r="AI5" s="30" t="s">
        <v>213</v>
      </c>
      <c r="AJ5" s="30"/>
      <c r="AK5" s="31"/>
    </row>
    <row r="6" spans="1:37" ht="15" customHeight="1">
      <c r="A6" s="357"/>
      <c r="T6" s="347" t="s">
        <v>214</v>
      </c>
      <c r="U6" s="348"/>
      <c r="V6" s="348"/>
      <c r="W6" s="348"/>
      <c r="X6" s="358"/>
      <c r="Y6" s="318" t="str">
        <f>LEFT(V8,4)</f>
        <v>2008</v>
      </c>
      <c r="Z6" s="319"/>
      <c r="AA6" s="320"/>
      <c r="AH6" s="32" t="s">
        <v>215</v>
      </c>
      <c r="AI6" s="321" t="s">
        <v>216</v>
      </c>
      <c r="AJ6" s="321"/>
      <c r="AK6" s="322"/>
    </row>
    <row r="7" spans="1:37" ht="2.25" customHeight="1" thickBot="1">
      <c r="A7" s="357"/>
      <c r="X7" s="33"/>
      <c r="Y7" s="33"/>
      <c r="Z7" s="33"/>
      <c r="AA7" s="33"/>
      <c r="AB7" s="34"/>
      <c r="AH7" s="35"/>
      <c r="AI7" s="36"/>
      <c r="AJ7" s="36"/>
      <c r="AK7" s="37"/>
    </row>
    <row r="8" spans="1:37" ht="15.75">
      <c r="A8" s="357"/>
      <c r="B8" s="38"/>
      <c r="C8" s="38"/>
      <c r="D8" s="38"/>
      <c r="E8" s="38"/>
      <c r="F8" s="38"/>
      <c r="G8" s="38"/>
      <c r="H8" s="38"/>
      <c r="I8" s="38"/>
      <c r="J8" s="38"/>
      <c r="K8" s="294" t="s">
        <v>217</v>
      </c>
      <c r="L8" s="294"/>
      <c r="M8" s="294"/>
      <c r="N8" s="294"/>
      <c r="O8" s="294"/>
      <c r="P8" s="294"/>
      <c r="Q8" s="294"/>
      <c r="R8" s="34"/>
      <c r="T8" s="295" t="s">
        <v>218</v>
      </c>
      <c r="U8" s="296"/>
      <c r="V8" s="297" t="str">
        <f>'DATA ENTRY'!F21</f>
        <v>2008-0308-007</v>
      </c>
      <c r="W8" s="298"/>
      <c r="X8" s="298"/>
      <c r="Y8" s="298"/>
      <c r="Z8" s="298"/>
      <c r="AA8" s="299"/>
      <c r="AH8" s="34"/>
      <c r="AI8" s="34" t="s">
        <v>219</v>
      </c>
      <c r="AJ8" s="34"/>
      <c r="AK8" s="34" t="str">
        <f>'DATA ENTRY'!C22</f>
        <v>Nizamabad</v>
      </c>
    </row>
    <row r="9" spans="1:37" ht="12.75" customHeight="1">
      <c r="A9" s="357"/>
      <c r="T9" s="300" t="s">
        <v>220</v>
      </c>
      <c r="U9" s="301"/>
      <c r="V9" s="304" t="str">
        <f>'DATA ENTRY'!B171</f>
        <v>MEO</v>
      </c>
      <c r="W9" s="305"/>
      <c r="X9" s="305"/>
      <c r="Y9" s="305"/>
      <c r="Z9" s="305"/>
      <c r="AA9" s="306"/>
      <c r="AB9" s="39"/>
      <c r="AC9" s="39"/>
      <c r="AD9" s="39"/>
      <c r="AE9" s="40"/>
      <c r="AF9" s="40"/>
      <c r="AG9" s="40"/>
      <c r="AH9" s="323" t="s">
        <v>221</v>
      </c>
      <c r="AI9" s="325" t="str">
        <f>'DATA ENTRY'!B172</f>
        <v>M.P Domakonda</v>
      </c>
      <c r="AJ9" s="325"/>
      <c r="AK9" s="301"/>
    </row>
    <row r="10" spans="1:37" ht="13.5" customHeight="1">
      <c r="A10" s="357"/>
      <c r="B10" s="329" t="s">
        <v>222</v>
      </c>
      <c r="C10" s="329"/>
      <c r="D10" s="41">
        <f>J3</f>
        <v>1365</v>
      </c>
      <c r="E10" s="330" t="str">
        <f>T45</f>
        <v>(One Thousand Three Hundred and Sixty five rupees only)</v>
      </c>
      <c r="F10" s="330"/>
      <c r="G10" s="330"/>
      <c r="H10" s="330"/>
      <c r="I10" s="330"/>
      <c r="J10" s="330"/>
      <c r="K10" s="330"/>
      <c r="L10" s="330"/>
      <c r="M10" s="330"/>
      <c r="N10" s="330"/>
      <c r="O10" s="330"/>
      <c r="P10" s="330"/>
      <c r="Q10" s="330"/>
      <c r="R10" s="42"/>
      <c r="S10" s="43"/>
      <c r="T10" s="302"/>
      <c r="U10" s="303"/>
      <c r="V10" s="307"/>
      <c r="W10" s="308"/>
      <c r="X10" s="308"/>
      <c r="Y10" s="308"/>
      <c r="Z10" s="308"/>
      <c r="AA10" s="309"/>
      <c r="AB10" s="39"/>
      <c r="AC10" s="39"/>
      <c r="AD10" s="39"/>
      <c r="AE10" s="40"/>
      <c r="AF10" s="40"/>
      <c r="AG10" s="40"/>
      <c r="AH10" s="324"/>
      <c r="AI10" s="326"/>
      <c r="AJ10" s="326"/>
      <c r="AK10" s="303"/>
    </row>
    <row r="11" spans="1:37" ht="13.5" customHeight="1">
      <c r="A11" s="357"/>
      <c r="E11" s="330"/>
      <c r="F11" s="330"/>
      <c r="G11" s="330"/>
      <c r="H11" s="330"/>
      <c r="I11" s="330"/>
      <c r="J11" s="330"/>
      <c r="K11" s="330"/>
      <c r="L11" s="330"/>
      <c r="M11" s="330"/>
      <c r="N11" s="330"/>
      <c r="O11" s="330"/>
      <c r="P11" s="330"/>
      <c r="Q11" s="330"/>
      <c r="T11" s="331" t="s">
        <v>223</v>
      </c>
      <c r="U11" s="332"/>
      <c r="V11" s="297">
        <f>'DATA ENTRY'!G23</f>
        <v>20111</v>
      </c>
      <c r="W11" s="298"/>
      <c r="X11" s="298"/>
      <c r="Y11" s="298"/>
      <c r="Z11" s="298"/>
      <c r="AA11" s="299"/>
      <c r="AH11" s="310" t="s">
        <v>224</v>
      </c>
      <c r="AI11" s="312" t="str">
        <f>'DATA ENTRY'!F22</f>
        <v>SBH Kamareddy</v>
      </c>
      <c r="AJ11" s="313"/>
      <c r="AK11" s="314"/>
    </row>
    <row r="12" spans="1:37" ht="12.75" customHeight="1">
      <c r="A12" s="357"/>
      <c r="T12" s="333"/>
      <c r="U12" s="334"/>
      <c r="V12" s="335"/>
      <c r="W12" s="336"/>
      <c r="X12" s="336"/>
      <c r="Y12" s="336"/>
      <c r="Z12" s="336"/>
      <c r="AA12" s="337"/>
      <c r="AH12" s="311"/>
      <c r="AI12" s="315"/>
      <c r="AJ12" s="316"/>
      <c r="AK12" s="317"/>
    </row>
    <row r="13" spans="1:37" ht="21.75" customHeight="1">
      <c r="A13" s="357"/>
      <c r="T13" s="38" t="s">
        <v>225</v>
      </c>
      <c r="U13" s="38"/>
      <c r="V13" s="38"/>
      <c r="W13" s="38"/>
      <c r="X13" s="38"/>
      <c r="Y13" s="38"/>
      <c r="Z13" s="38"/>
      <c r="AA13" s="38"/>
      <c r="AB13" s="38"/>
      <c r="AC13" s="38"/>
      <c r="AD13" s="38"/>
      <c r="AE13" s="38"/>
      <c r="AF13" s="38"/>
      <c r="AG13" s="38"/>
      <c r="AH13" s="38" t="s">
        <v>226</v>
      </c>
      <c r="AI13" s="38"/>
      <c r="AJ13" s="38"/>
      <c r="AK13" s="38"/>
    </row>
    <row r="14" spans="1:35" ht="15">
      <c r="A14" s="357"/>
      <c r="T14" s="44" t="s">
        <v>227</v>
      </c>
      <c r="AG14" s="45" t="s">
        <v>228</v>
      </c>
      <c r="AH14" s="46"/>
      <c r="AI14" s="22" t="s">
        <v>229</v>
      </c>
    </row>
    <row r="15" spans="1:37" ht="16.5">
      <c r="A15" s="357"/>
      <c r="B15" s="47" t="s">
        <v>230</v>
      </c>
      <c r="T15" s="22" t="s">
        <v>231</v>
      </c>
      <c r="U15" s="34"/>
      <c r="V15" s="48">
        <v>2</v>
      </c>
      <c r="W15" s="48">
        <v>2</v>
      </c>
      <c r="X15" s="48">
        <v>0</v>
      </c>
      <c r="Y15" s="48">
        <v>2</v>
      </c>
      <c r="AA15" s="49" t="s">
        <v>232</v>
      </c>
      <c r="AB15" s="38"/>
      <c r="AC15" s="38"/>
      <c r="AD15" s="38"/>
      <c r="AE15" s="38"/>
      <c r="AG15" s="50">
        <v>1</v>
      </c>
      <c r="AH15" s="34" t="s">
        <v>233</v>
      </c>
      <c r="AI15" s="22" t="s">
        <v>234</v>
      </c>
      <c r="AJ15" s="38"/>
      <c r="AK15" s="51">
        <f>IF('DATA ENTRY'!C173=1,'47 In'!P18,0)</f>
        <v>0</v>
      </c>
    </row>
    <row r="16" spans="1:37" ht="15">
      <c r="A16" s="357"/>
      <c r="V16" s="34"/>
      <c r="W16" s="34"/>
      <c r="AG16" s="50">
        <v>2</v>
      </c>
      <c r="AH16" s="34"/>
      <c r="AI16" s="22" t="s">
        <v>234</v>
      </c>
      <c r="AJ16" s="52"/>
      <c r="AK16" s="51"/>
    </row>
    <row r="17" spans="1:37" ht="15">
      <c r="A17" s="357"/>
      <c r="T17" s="22" t="s">
        <v>235</v>
      </c>
      <c r="V17" s="48">
        <v>0</v>
      </c>
      <c r="W17" s="53">
        <f>'DATA ENTRY'!D523</f>
        <v>1</v>
      </c>
      <c r="AA17" s="54" t="str">
        <f>'DATA ENTRY'!C527</f>
        <v>Ele. Edn.</v>
      </c>
      <c r="AG17" s="50">
        <v>3</v>
      </c>
      <c r="AH17" s="34" t="s">
        <v>236</v>
      </c>
      <c r="AI17" s="22" t="s">
        <v>234</v>
      </c>
      <c r="AJ17" s="52"/>
      <c r="AK17" s="55"/>
    </row>
    <row r="18" spans="1:37" ht="18.75">
      <c r="A18" s="357"/>
      <c r="J18" s="56" t="s">
        <v>237</v>
      </c>
      <c r="K18" s="338" t="s">
        <v>217</v>
      </c>
      <c r="L18" s="338"/>
      <c r="M18" s="338"/>
      <c r="N18" s="338"/>
      <c r="O18" s="338"/>
      <c r="P18" s="338"/>
      <c r="Q18" s="338"/>
      <c r="AG18" s="50">
        <v>4</v>
      </c>
      <c r="AH18" s="34" t="s">
        <v>238</v>
      </c>
      <c r="AI18" s="22" t="s">
        <v>234</v>
      </c>
      <c r="AJ18" s="52"/>
      <c r="AK18" s="57"/>
    </row>
    <row r="19" spans="1:37" ht="21.75" customHeight="1">
      <c r="A19" s="357"/>
      <c r="T19" s="22" t="s">
        <v>239</v>
      </c>
      <c r="V19" s="58">
        <v>1</v>
      </c>
      <c r="W19" s="58">
        <f>'DATA ENTRY'!D524</f>
        <v>0</v>
      </c>
      <c r="X19" s="58">
        <f>'DATA ENTRY'!E524</f>
        <v>3</v>
      </c>
      <c r="Z19" s="339" t="str">
        <f>'DATA ENTRY'!C528</f>
        <v>Assistance to the local bodies to Primary Education.</v>
      </c>
      <c r="AA19" s="339"/>
      <c r="AB19" s="339"/>
      <c r="AC19" s="339"/>
      <c r="AD19" s="339"/>
      <c r="AE19" s="339"/>
      <c r="AG19" s="50">
        <v>5</v>
      </c>
      <c r="AH19" s="34" t="s">
        <v>240</v>
      </c>
      <c r="AI19" s="22" t="s">
        <v>234</v>
      </c>
      <c r="AJ19" s="52"/>
      <c r="AK19" s="55"/>
    </row>
    <row r="20" spans="1:37" ht="15">
      <c r="A20" s="357"/>
      <c r="B20" s="22" t="s">
        <v>241</v>
      </c>
      <c r="L20" s="38"/>
      <c r="M20" s="38"/>
      <c r="N20" s="38"/>
      <c r="O20" s="38"/>
      <c r="P20" s="38"/>
      <c r="Q20" s="38"/>
      <c r="R20" s="34"/>
      <c r="Z20" s="59"/>
      <c r="AA20" s="59"/>
      <c r="AB20" s="59"/>
      <c r="AC20" s="59"/>
      <c r="AD20" s="59"/>
      <c r="AE20" s="59"/>
      <c r="AG20" s="50">
        <v>6</v>
      </c>
      <c r="AH20" s="34" t="s">
        <v>242</v>
      </c>
      <c r="AI20" s="22" t="s">
        <v>234</v>
      </c>
      <c r="AJ20" s="52"/>
      <c r="AK20" s="57"/>
    </row>
    <row r="21" spans="1:37" ht="15">
      <c r="A21" s="357"/>
      <c r="E21" s="60" t="s">
        <v>243</v>
      </c>
      <c r="F21" s="60"/>
      <c r="G21" s="60"/>
      <c r="I21" s="61"/>
      <c r="T21" s="327" t="s">
        <v>244</v>
      </c>
      <c r="U21" s="327"/>
      <c r="W21" s="48" t="s">
        <v>245</v>
      </c>
      <c r="X21" s="48" t="s">
        <v>245</v>
      </c>
      <c r="Z21" s="34"/>
      <c r="AA21" s="34"/>
      <c r="AB21" s="34"/>
      <c r="AC21" s="34"/>
      <c r="AD21" s="34"/>
      <c r="AE21" s="34"/>
      <c r="AG21" s="50">
        <v>7</v>
      </c>
      <c r="AH21" s="34" t="s">
        <v>246</v>
      </c>
      <c r="AI21" s="22" t="s">
        <v>234</v>
      </c>
      <c r="AJ21" s="52"/>
      <c r="AK21" s="55"/>
    </row>
    <row r="22" spans="1:37" ht="15">
      <c r="A22" s="357"/>
      <c r="Z22" s="340" t="str">
        <f>'DATA ENTRY'!C529</f>
        <v>Teaching Grants to MPP's.</v>
      </c>
      <c r="AA22" s="340"/>
      <c r="AB22" s="340"/>
      <c r="AC22" s="340"/>
      <c r="AD22" s="340"/>
      <c r="AG22" s="50">
        <v>8</v>
      </c>
      <c r="AH22" s="34" t="s">
        <v>247</v>
      </c>
      <c r="AI22" s="22" t="s">
        <v>234</v>
      </c>
      <c r="AK22" s="57"/>
    </row>
    <row r="23" spans="1:37" ht="15">
      <c r="A23" s="357"/>
      <c r="C23" s="63" t="s">
        <v>405</v>
      </c>
      <c r="D23" s="63"/>
      <c r="E23" s="63"/>
      <c r="F23" s="63"/>
      <c r="G23" s="63"/>
      <c r="H23" s="63"/>
      <c r="I23" s="63"/>
      <c r="J23" s="64"/>
      <c r="K23" s="64"/>
      <c r="T23" s="22" t="s">
        <v>248</v>
      </c>
      <c r="W23" s="48">
        <v>0</v>
      </c>
      <c r="X23" s="48">
        <f>'DATA ENTRY'!D525</f>
        <v>5</v>
      </c>
      <c r="Z23" s="340"/>
      <c r="AA23" s="340"/>
      <c r="AB23" s="340"/>
      <c r="AC23" s="340"/>
      <c r="AD23" s="340"/>
      <c r="AE23" s="65"/>
      <c r="AG23" s="50">
        <v>9</v>
      </c>
      <c r="AH23" s="34" t="s">
        <v>249</v>
      </c>
      <c r="AI23" s="22" t="s">
        <v>234</v>
      </c>
      <c r="AJ23" s="38"/>
      <c r="AK23" s="57"/>
    </row>
    <row r="24" spans="1:37" ht="12.75" customHeight="1">
      <c r="A24" s="357"/>
      <c r="C24" s="63"/>
      <c r="D24" s="63"/>
      <c r="E24" s="63"/>
      <c r="F24" s="63"/>
      <c r="G24" s="63"/>
      <c r="H24" s="63"/>
      <c r="I24" s="63"/>
      <c r="J24" s="64"/>
      <c r="K24" s="64"/>
      <c r="Z24" s="65"/>
      <c r="AA24" s="65"/>
      <c r="AB24" s="65"/>
      <c r="AC24" s="65"/>
      <c r="AD24" s="65"/>
      <c r="AE24" s="65"/>
      <c r="AG24" s="50">
        <v>10</v>
      </c>
      <c r="AH24" s="34" t="s">
        <v>250</v>
      </c>
      <c r="AI24" s="22" t="s">
        <v>234</v>
      </c>
      <c r="AJ24" s="52"/>
      <c r="AK24" s="55"/>
    </row>
    <row r="25" spans="1:37" ht="15">
      <c r="A25" s="357"/>
      <c r="S25" s="21"/>
      <c r="T25" s="327" t="s">
        <v>251</v>
      </c>
      <c r="U25" s="327"/>
      <c r="V25" s="66">
        <v>0</v>
      </c>
      <c r="W25" s="66">
        <v>1</v>
      </c>
      <c r="X25" s="66">
        <v>0</v>
      </c>
      <c r="Z25" s="54" t="s">
        <v>252</v>
      </c>
      <c r="AG25" s="50">
        <v>11</v>
      </c>
      <c r="AH25" s="34" t="s">
        <v>253</v>
      </c>
      <c r="AI25" s="22" t="s">
        <v>234</v>
      </c>
      <c r="AJ25" s="52"/>
      <c r="AK25" s="57"/>
    </row>
    <row r="26" spans="1:37" ht="15">
      <c r="A26" s="357"/>
      <c r="S26" s="43"/>
      <c r="T26" s="67" t="s">
        <v>254</v>
      </c>
      <c r="U26" s="67"/>
      <c r="V26" s="67"/>
      <c r="W26" s="67"/>
      <c r="X26" s="67"/>
      <c r="Y26" s="67"/>
      <c r="Z26" s="328"/>
      <c r="AA26" s="328"/>
      <c r="AB26" s="328"/>
      <c r="AC26" s="328"/>
      <c r="AD26" s="328"/>
      <c r="AE26" s="328"/>
      <c r="AG26" s="50">
        <v>12</v>
      </c>
      <c r="AH26" s="34" t="s">
        <v>255</v>
      </c>
      <c r="AI26" s="22" t="s">
        <v>234</v>
      </c>
      <c r="AJ26" s="52"/>
      <c r="AK26" s="55"/>
    </row>
    <row r="27" spans="1:37" ht="15">
      <c r="A27" s="357"/>
      <c r="AG27" s="50">
        <v>13</v>
      </c>
      <c r="AH27" s="68" t="s">
        <v>256</v>
      </c>
      <c r="AI27" s="22" t="s">
        <v>234</v>
      </c>
      <c r="AJ27" s="52"/>
      <c r="AK27" s="57"/>
    </row>
    <row r="28" spans="1:37" ht="15">
      <c r="A28" s="357"/>
      <c r="T28" s="327" t="s">
        <v>257</v>
      </c>
      <c r="U28" s="327"/>
      <c r="V28" s="327"/>
      <c r="W28" s="48" t="s">
        <v>258</v>
      </c>
      <c r="X28" s="34"/>
      <c r="Y28" s="22" t="s">
        <v>259</v>
      </c>
      <c r="AD28" s="69" t="s">
        <v>260</v>
      </c>
      <c r="AE28" s="70"/>
      <c r="AG28" s="50">
        <v>14</v>
      </c>
      <c r="AH28" s="68" t="s">
        <v>261</v>
      </c>
      <c r="AI28" s="22" t="s">
        <v>234</v>
      </c>
      <c r="AJ28" s="52"/>
      <c r="AK28" s="55"/>
    </row>
    <row r="29" spans="1:37" ht="15">
      <c r="A29" s="357"/>
      <c r="AG29" s="50">
        <v>15</v>
      </c>
      <c r="AH29" s="68" t="s">
        <v>262</v>
      </c>
      <c r="AI29" s="22" t="s">
        <v>234</v>
      </c>
      <c r="AJ29" s="52"/>
      <c r="AK29" s="57"/>
    </row>
    <row r="30" spans="1:37" ht="12.75" customHeight="1">
      <c r="A30" s="357"/>
      <c r="T30" s="327" t="s">
        <v>263</v>
      </c>
      <c r="U30" s="327"/>
      <c r="V30" s="327"/>
      <c r="W30" s="327"/>
      <c r="AG30" s="50">
        <v>16</v>
      </c>
      <c r="AH30" s="68" t="s">
        <v>264</v>
      </c>
      <c r="AI30" s="22" t="s">
        <v>234</v>
      </c>
      <c r="AJ30" s="52"/>
      <c r="AK30" s="55"/>
    </row>
    <row r="31" spans="1:37" ht="12.75" customHeight="1">
      <c r="A31" s="357"/>
      <c r="T31" s="343" t="s">
        <v>265</v>
      </c>
      <c r="U31" s="343"/>
      <c r="V31" s="343"/>
      <c r="W31" s="48">
        <v>2</v>
      </c>
      <c r="X31" s="48">
        <v>2</v>
      </c>
      <c r="Y31" s="48">
        <v>0</v>
      </c>
      <c r="Z31" s="48">
        <v>2</v>
      </c>
      <c r="AA31" s="38"/>
      <c r="AB31" s="38"/>
      <c r="AC31" s="38"/>
      <c r="AD31" s="38"/>
      <c r="AE31" s="38"/>
      <c r="AG31" s="50">
        <v>17</v>
      </c>
      <c r="AH31" s="68" t="s">
        <v>266</v>
      </c>
      <c r="AI31" s="22" t="s">
        <v>234</v>
      </c>
      <c r="AJ31" s="52"/>
      <c r="AK31" s="57"/>
    </row>
    <row r="32" spans="1:37" ht="12.75" customHeight="1">
      <c r="A32" s="357"/>
      <c r="AG32" s="50">
        <v>18</v>
      </c>
      <c r="AH32" s="34" t="s">
        <v>267</v>
      </c>
      <c r="AI32" s="22" t="s">
        <v>234</v>
      </c>
      <c r="AJ32" s="52"/>
      <c r="AK32" s="55"/>
    </row>
    <row r="33" spans="1:37" ht="15">
      <c r="A33" s="357"/>
      <c r="K33" s="344" t="s">
        <v>237</v>
      </c>
      <c r="L33" s="344"/>
      <c r="M33" s="344"/>
      <c r="N33" s="344"/>
      <c r="O33" s="344"/>
      <c r="P33" s="344"/>
      <c r="Q33" s="344"/>
      <c r="T33" s="22" t="s">
        <v>268</v>
      </c>
      <c r="Y33" s="22" t="s">
        <v>269</v>
      </c>
      <c r="Z33" s="341">
        <f>'47 In'!L18</f>
        <v>1080</v>
      </c>
      <c r="AA33" s="341"/>
      <c r="AB33" s="341"/>
      <c r="AC33" s="341"/>
      <c r="AD33" s="71"/>
      <c r="AG33" s="50">
        <v>19</v>
      </c>
      <c r="AH33" s="34" t="s">
        <v>270</v>
      </c>
      <c r="AI33" s="22" t="s">
        <v>234</v>
      </c>
      <c r="AJ33" s="52"/>
      <c r="AK33" s="57"/>
    </row>
    <row r="34" spans="1:37" ht="15">
      <c r="A34" s="357"/>
      <c r="B34" s="22" t="s">
        <v>271</v>
      </c>
      <c r="N34" s="38"/>
      <c r="O34" s="38"/>
      <c r="P34" s="38"/>
      <c r="Q34" s="38"/>
      <c r="R34" s="34"/>
      <c r="T34" s="22" t="s">
        <v>272</v>
      </c>
      <c r="Y34" s="22" t="s">
        <v>269</v>
      </c>
      <c r="Z34" s="341">
        <v>0</v>
      </c>
      <c r="AA34" s="341"/>
      <c r="AB34" s="341"/>
      <c r="AC34" s="341"/>
      <c r="AD34" s="71"/>
      <c r="AG34" s="50">
        <v>20</v>
      </c>
      <c r="AH34" s="34" t="s">
        <v>273</v>
      </c>
      <c r="AI34" s="22" t="s">
        <v>234</v>
      </c>
      <c r="AJ34" s="52"/>
      <c r="AK34" s="55"/>
    </row>
    <row r="35" spans="1:37" ht="15" customHeight="1">
      <c r="A35" s="357"/>
      <c r="B35" s="72" t="s">
        <v>274</v>
      </c>
      <c r="C35" s="72"/>
      <c r="D35" s="72"/>
      <c r="E35" s="72"/>
      <c r="F35" s="72"/>
      <c r="G35" s="72"/>
      <c r="H35" s="72"/>
      <c r="I35" s="72"/>
      <c r="J35" s="72"/>
      <c r="K35" s="72"/>
      <c r="L35" s="72"/>
      <c r="M35" s="72"/>
      <c r="N35" s="72"/>
      <c r="O35" s="72"/>
      <c r="P35" s="72"/>
      <c r="Q35" s="72"/>
      <c r="R35" s="72"/>
      <c r="S35" s="72"/>
      <c r="T35" s="22" t="s">
        <v>275</v>
      </c>
      <c r="Y35" s="22" t="s">
        <v>269</v>
      </c>
      <c r="Z35" s="341">
        <f>'47 In'!M18</f>
        <v>177</v>
      </c>
      <c r="AA35" s="341"/>
      <c r="AB35" s="341"/>
      <c r="AC35" s="341"/>
      <c r="AD35" s="71"/>
      <c r="AG35" s="50">
        <v>21</v>
      </c>
      <c r="AH35" s="34" t="s">
        <v>276</v>
      </c>
      <c r="AI35" s="22" t="s">
        <v>234</v>
      </c>
      <c r="AJ35" s="52"/>
      <c r="AK35" s="57">
        <f>IF('DATA ENTRY'!C173=2,'47 In'!P18,0)</f>
        <v>0</v>
      </c>
    </row>
    <row r="36" spans="1:37" ht="12.75" customHeight="1">
      <c r="A36" s="357"/>
      <c r="T36" s="22" t="s">
        <v>277</v>
      </c>
      <c r="Y36" s="22" t="s">
        <v>269</v>
      </c>
      <c r="Z36" s="341">
        <f>'47 In'!N18</f>
        <v>108</v>
      </c>
      <c r="AA36" s="341"/>
      <c r="AB36" s="341"/>
      <c r="AC36" s="341"/>
      <c r="AD36" s="71"/>
      <c r="AG36" s="50">
        <v>22</v>
      </c>
      <c r="AH36" s="44" t="s">
        <v>278</v>
      </c>
      <c r="AI36" s="22" t="s">
        <v>234</v>
      </c>
      <c r="AJ36" s="52"/>
      <c r="AK36" s="51"/>
    </row>
    <row r="37" spans="1:37" ht="13.5" customHeight="1">
      <c r="A37" s="357"/>
      <c r="T37" s="22" t="s">
        <v>279</v>
      </c>
      <c r="Y37" s="22" t="s">
        <v>269</v>
      </c>
      <c r="Z37" s="341"/>
      <c r="AA37" s="341"/>
      <c r="AB37" s="341"/>
      <c r="AC37" s="341"/>
      <c r="AD37" s="71"/>
      <c r="AH37" s="22" t="s">
        <v>280</v>
      </c>
      <c r="AK37" s="73"/>
    </row>
    <row r="38" spans="1:37" ht="14.25" customHeight="1">
      <c r="A38" s="357"/>
      <c r="T38" s="22" t="s">
        <v>281</v>
      </c>
      <c r="Y38" s="22" t="s">
        <v>269</v>
      </c>
      <c r="Z38" s="341"/>
      <c r="AA38" s="341"/>
      <c r="AB38" s="341"/>
      <c r="AC38" s="341"/>
      <c r="AD38" s="71"/>
      <c r="AF38" s="74"/>
      <c r="AG38" s="347" t="s">
        <v>282</v>
      </c>
      <c r="AH38" s="348"/>
      <c r="AI38" s="22" t="s">
        <v>234</v>
      </c>
      <c r="AK38" s="57">
        <f>SUM(AK15:AK37)</f>
        <v>0</v>
      </c>
    </row>
    <row r="39" spans="1:34" ht="2.25" customHeight="1" hidden="1">
      <c r="A39" s="357"/>
      <c r="T39" s="22" t="s">
        <v>283</v>
      </c>
      <c r="Y39" s="22" t="s">
        <v>269</v>
      </c>
      <c r="Z39" s="341"/>
      <c r="AA39" s="341"/>
      <c r="AB39" s="341"/>
      <c r="AC39" s="341"/>
      <c r="AD39" s="71"/>
      <c r="AF39" s="34"/>
      <c r="AG39" s="50"/>
      <c r="AH39" s="34"/>
    </row>
    <row r="40" spans="1:36" ht="3.75" customHeight="1" hidden="1">
      <c r="A40" s="357"/>
      <c r="T40" s="22" t="s">
        <v>284</v>
      </c>
      <c r="Y40" s="22" t="s">
        <v>269</v>
      </c>
      <c r="Z40" s="341"/>
      <c r="AA40" s="341"/>
      <c r="AB40" s="341"/>
      <c r="AC40" s="341"/>
      <c r="AD40" s="71"/>
      <c r="AF40" s="71"/>
      <c r="AG40" s="349" t="s">
        <v>285</v>
      </c>
      <c r="AH40" s="350"/>
      <c r="AI40" s="62" t="s">
        <v>269</v>
      </c>
      <c r="AJ40" s="62"/>
    </row>
    <row r="41" spans="1:34" ht="12" customHeight="1">
      <c r="A41" s="357"/>
      <c r="T41" s="22" t="s">
        <v>286</v>
      </c>
      <c r="Y41" s="22" t="s">
        <v>269</v>
      </c>
      <c r="Z41" s="341">
        <f>SUM(Z33:Z40)</f>
        <v>1365</v>
      </c>
      <c r="AA41" s="341"/>
      <c r="AB41" s="341"/>
      <c r="AC41" s="341"/>
      <c r="AD41" s="71"/>
      <c r="AF41" s="34"/>
      <c r="AG41" s="50"/>
      <c r="AH41" s="34"/>
    </row>
    <row r="42" spans="1:34" ht="11.25" customHeight="1">
      <c r="A42" s="357"/>
      <c r="T42" s="22" t="s">
        <v>287</v>
      </c>
      <c r="Y42" s="22" t="s">
        <v>269</v>
      </c>
      <c r="Z42" s="341">
        <f>AK38</f>
        <v>0</v>
      </c>
      <c r="AA42" s="341"/>
      <c r="AB42" s="341"/>
      <c r="AC42" s="341"/>
      <c r="AD42" s="71"/>
      <c r="AF42" s="34"/>
      <c r="AG42" s="50"/>
      <c r="AH42" s="34"/>
    </row>
    <row r="43" spans="10:34" ht="15">
      <c r="J43" s="73"/>
      <c r="T43" s="22" t="s">
        <v>288</v>
      </c>
      <c r="Y43" s="22" t="s">
        <v>269</v>
      </c>
      <c r="Z43" s="341">
        <f>Z41-Z42</f>
        <v>1365</v>
      </c>
      <c r="AA43" s="341"/>
      <c r="AB43" s="341"/>
      <c r="AC43" s="341"/>
      <c r="AD43" s="71"/>
      <c r="AF43" s="34"/>
      <c r="AG43" s="50"/>
      <c r="AH43" s="34"/>
    </row>
    <row r="44" spans="20:34" ht="11.25" customHeight="1">
      <c r="T44" s="22" t="s">
        <v>289</v>
      </c>
      <c r="AF44" s="34"/>
      <c r="AG44" s="50"/>
      <c r="AH44" s="34"/>
    </row>
    <row r="45" spans="20:37" ht="18" customHeight="1">
      <c r="T45" s="351" t="str">
        <f>'DATA ENTRY'!C710</f>
        <v>(One Thousand Three Hundred and Sixty five rupees only)</v>
      </c>
      <c r="U45" s="351"/>
      <c r="V45" s="351"/>
      <c r="W45" s="351"/>
      <c r="X45" s="351"/>
      <c r="Y45" s="351"/>
      <c r="Z45" s="351"/>
      <c r="AA45" s="351"/>
      <c r="AB45" s="351"/>
      <c r="AC45" s="351"/>
      <c r="AD45" s="351"/>
      <c r="AE45" s="351"/>
      <c r="AF45" s="352"/>
      <c r="AG45" s="75"/>
      <c r="AH45" s="34"/>
      <c r="AK45" s="76" t="s">
        <v>290</v>
      </c>
    </row>
    <row r="46" spans="20:37" ht="18.75" customHeight="1">
      <c r="T46" s="353"/>
      <c r="U46" s="353"/>
      <c r="V46" s="353"/>
      <c r="W46" s="353"/>
      <c r="X46" s="353"/>
      <c r="Y46" s="353"/>
      <c r="Z46" s="353"/>
      <c r="AA46" s="353"/>
      <c r="AB46" s="353"/>
      <c r="AC46" s="353"/>
      <c r="AD46" s="353"/>
      <c r="AE46" s="353"/>
      <c r="AF46" s="354"/>
      <c r="AG46" s="77"/>
      <c r="AH46" s="38"/>
      <c r="AI46" s="38"/>
      <c r="AJ46" s="38"/>
      <c r="AK46" s="38"/>
    </row>
    <row r="47" spans="20:37" ht="16.5" customHeight="1">
      <c r="T47" s="72" t="s">
        <v>291</v>
      </c>
      <c r="U47" s="72"/>
      <c r="V47" s="72"/>
      <c r="W47" s="72"/>
      <c r="X47" s="72"/>
      <c r="Y47" s="72"/>
      <c r="Z47" s="72"/>
      <c r="AA47" s="72"/>
      <c r="AB47" s="72"/>
      <c r="AC47" s="72"/>
      <c r="AD47" s="72"/>
      <c r="AE47" s="72"/>
      <c r="AF47" s="72"/>
      <c r="AG47" s="72"/>
      <c r="AH47" s="72"/>
      <c r="AI47" s="72"/>
      <c r="AJ47" s="72"/>
      <c r="AK47" s="72"/>
    </row>
    <row r="48" spans="2:27" ht="15" customHeight="1">
      <c r="B48" s="355"/>
      <c r="C48" s="355"/>
      <c r="D48" s="355"/>
      <c r="E48" s="355"/>
      <c r="F48" s="355"/>
      <c r="G48" s="355"/>
      <c r="H48" s="355"/>
      <c r="I48" s="355"/>
      <c r="J48" s="355"/>
      <c r="K48" s="355"/>
      <c r="L48" s="355"/>
      <c r="M48" s="355"/>
      <c r="N48" s="355"/>
      <c r="O48" s="355"/>
      <c r="P48" s="78"/>
      <c r="Q48" s="79"/>
      <c r="T48" s="44" t="s">
        <v>292</v>
      </c>
      <c r="AA48" s="22" t="s">
        <v>293</v>
      </c>
    </row>
    <row r="49" spans="2:20" ht="15" customHeight="1">
      <c r="B49" s="355"/>
      <c r="C49" s="342"/>
      <c r="D49" s="342"/>
      <c r="E49" s="342"/>
      <c r="F49" s="342"/>
      <c r="G49" s="342"/>
      <c r="H49" s="342"/>
      <c r="I49" s="342"/>
      <c r="J49" s="342"/>
      <c r="K49" s="342"/>
      <c r="L49" s="342"/>
      <c r="M49" s="342"/>
      <c r="N49" s="342"/>
      <c r="O49" s="342"/>
      <c r="P49" s="342"/>
      <c r="Q49" s="78"/>
      <c r="T49" s="44" t="s">
        <v>294</v>
      </c>
    </row>
    <row r="50" spans="2:20" ht="15" customHeight="1">
      <c r="B50" s="355"/>
      <c r="C50" s="342"/>
      <c r="D50" s="342"/>
      <c r="E50" s="345"/>
      <c r="F50" s="345"/>
      <c r="G50" s="345"/>
      <c r="H50" s="345"/>
      <c r="I50" s="345"/>
      <c r="J50" s="345"/>
      <c r="K50" s="345"/>
      <c r="L50" s="345"/>
      <c r="M50" s="345"/>
      <c r="N50" s="345"/>
      <c r="O50" s="345"/>
      <c r="P50" s="345"/>
      <c r="Q50" s="80"/>
      <c r="T50" s="44" t="s">
        <v>295</v>
      </c>
    </row>
    <row r="51" spans="2:20" ht="17.25" customHeight="1" hidden="1">
      <c r="B51" s="355"/>
      <c r="C51" s="342"/>
      <c r="D51" s="342"/>
      <c r="E51" s="345"/>
      <c r="F51" s="346"/>
      <c r="G51" s="346"/>
      <c r="H51" s="346"/>
      <c r="I51" s="346"/>
      <c r="J51" s="345"/>
      <c r="K51" s="345"/>
      <c r="L51" s="346"/>
      <c r="M51" s="346"/>
      <c r="N51" s="346"/>
      <c r="O51" s="346"/>
      <c r="P51" s="345"/>
      <c r="Q51" s="80"/>
      <c r="T51" s="44" t="s">
        <v>296</v>
      </c>
    </row>
    <row r="52" spans="2:17" ht="12.75" customHeight="1" hidden="1">
      <c r="B52" s="355"/>
      <c r="C52" s="342"/>
      <c r="D52" s="342"/>
      <c r="E52" s="345"/>
      <c r="F52" s="346"/>
      <c r="G52" s="346"/>
      <c r="H52" s="346"/>
      <c r="I52" s="346"/>
      <c r="J52" s="345"/>
      <c r="K52" s="345"/>
      <c r="L52" s="346"/>
      <c r="M52" s="346"/>
      <c r="N52" s="346"/>
      <c r="O52" s="346"/>
      <c r="P52" s="345"/>
      <c r="Q52" s="78"/>
    </row>
    <row r="53" spans="2:31" ht="22.5" customHeight="1">
      <c r="B53" s="355"/>
      <c r="C53" s="342"/>
      <c r="D53" s="342"/>
      <c r="E53" s="345"/>
      <c r="F53" s="346"/>
      <c r="G53" s="346"/>
      <c r="H53" s="346"/>
      <c r="I53" s="346"/>
      <c r="J53" s="345"/>
      <c r="K53" s="345"/>
      <c r="L53" s="346"/>
      <c r="M53" s="346"/>
      <c r="N53" s="346"/>
      <c r="O53" s="346"/>
      <c r="P53" s="345"/>
      <c r="Q53" s="78"/>
      <c r="W53" s="22">
        <v>1</v>
      </c>
      <c r="X53" s="22" t="s">
        <v>297</v>
      </c>
      <c r="AE53" s="61" t="s">
        <v>298</v>
      </c>
    </row>
    <row r="54" spans="2:24" ht="15" customHeight="1">
      <c r="B54" s="81"/>
      <c r="C54" s="355"/>
      <c r="D54" s="355"/>
      <c r="E54" s="81"/>
      <c r="F54" s="81"/>
      <c r="G54" s="81"/>
      <c r="H54" s="81"/>
      <c r="I54" s="81"/>
      <c r="J54" s="81"/>
      <c r="K54" s="81"/>
      <c r="L54" s="81"/>
      <c r="M54" s="81"/>
      <c r="N54" s="81"/>
      <c r="O54" s="81"/>
      <c r="P54" s="81"/>
      <c r="Q54" s="81"/>
      <c r="T54" s="62"/>
      <c r="U54" s="62"/>
      <c r="X54" s="22" t="s">
        <v>299</v>
      </c>
    </row>
    <row r="55" spans="2:31" ht="14.25" customHeight="1">
      <c r="B55" s="342"/>
      <c r="C55" s="355"/>
      <c r="D55" s="346"/>
      <c r="E55" s="342"/>
      <c r="F55" s="342"/>
      <c r="G55" s="342"/>
      <c r="H55" s="342"/>
      <c r="I55" s="342"/>
      <c r="J55" s="342"/>
      <c r="K55" s="342"/>
      <c r="L55" s="342"/>
      <c r="M55" s="342"/>
      <c r="N55" s="342"/>
      <c r="O55" s="342"/>
      <c r="P55" s="342"/>
      <c r="Q55" s="34"/>
      <c r="T55" s="62"/>
      <c r="U55" s="62"/>
      <c r="W55" s="22">
        <v>2</v>
      </c>
      <c r="X55" s="22" t="s">
        <v>297</v>
      </c>
      <c r="AE55" s="22" t="s">
        <v>300</v>
      </c>
    </row>
    <row r="56" spans="2:24" ht="14.25" customHeight="1">
      <c r="B56" s="346"/>
      <c r="C56" s="346"/>
      <c r="D56" s="346"/>
      <c r="E56" s="342"/>
      <c r="F56" s="342"/>
      <c r="G56" s="342"/>
      <c r="H56" s="342"/>
      <c r="I56" s="342"/>
      <c r="J56" s="342"/>
      <c r="K56" s="342"/>
      <c r="L56" s="342"/>
      <c r="M56" s="342"/>
      <c r="N56" s="342"/>
      <c r="O56" s="342"/>
      <c r="P56" s="342"/>
      <c r="Q56" s="34"/>
      <c r="T56" s="62"/>
      <c r="U56" s="62"/>
      <c r="X56" s="22" t="s">
        <v>301</v>
      </c>
    </row>
    <row r="57" spans="2:21" ht="14.25" customHeight="1">
      <c r="B57" s="346"/>
      <c r="C57" s="346"/>
      <c r="D57" s="346"/>
      <c r="E57" s="342"/>
      <c r="F57" s="342"/>
      <c r="G57" s="342"/>
      <c r="H57" s="342"/>
      <c r="I57" s="342"/>
      <c r="J57" s="342"/>
      <c r="K57" s="342"/>
      <c r="L57" s="342"/>
      <c r="M57" s="342"/>
      <c r="N57" s="342"/>
      <c r="O57" s="342"/>
      <c r="P57" s="342"/>
      <c r="Q57" s="34"/>
      <c r="T57" s="62"/>
      <c r="U57" s="62"/>
    </row>
    <row r="58" spans="2:37" ht="14.25" customHeight="1">
      <c r="B58" s="82"/>
      <c r="C58" s="355"/>
      <c r="D58" s="355"/>
      <c r="E58" s="34"/>
      <c r="F58" s="34"/>
      <c r="G58" s="34"/>
      <c r="H58" s="34"/>
      <c r="I58" s="34"/>
      <c r="J58" s="34"/>
      <c r="K58" s="34"/>
      <c r="L58" s="34"/>
      <c r="M58" s="34"/>
      <c r="N58" s="34"/>
      <c r="O58" s="34"/>
      <c r="P58" s="34"/>
      <c r="Q58" s="34"/>
      <c r="AB58" s="356" t="s">
        <v>302</v>
      </c>
      <c r="AC58" s="356"/>
      <c r="AD58" s="356"/>
      <c r="AE58" s="356"/>
      <c r="AF58" s="356"/>
      <c r="AG58" s="356"/>
      <c r="AH58" s="356"/>
      <c r="AI58" s="356"/>
      <c r="AJ58" s="356"/>
      <c r="AK58" s="356"/>
    </row>
    <row r="65" ht="15">
      <c r="R65" s="22" t="s">
        <v>303</v>
      </c>
    </row>
    <row r="68" ht="15">
      <c r="R68" s="22" t="s">
        <v>304</v>
      </c>
    </row>
    <row r="69" ht="15">
      <c r="R69" s="22" t="s">
        <v>305</v>
      </c>
    </row>
  </sheetData>
  <sheetProtection/>
  <mergeCells count="83">
    <mergeCell ref="C54:D54"/>
    <mergeCell ref="G55:G57"/>
    <mergeCell ref="AB58:AK58"/>
    <mergeCell ref="A3:A42"/>
    <mergeCell ref="T6:X6"/>
    <mergeCell ref="H55:H57"/>
    <mergeCell ref="I55:I57"/>
    <mergeCell ref="J55:J57"/>
    <mergeCell ref="N50:N53"/>
    <mergeCell ref="O50:O53"/>
    <mergeCell ref="H50:H53"/>
    <mergeCell ref="I50:I53"/>
    <mergeCell ref="K55:K57"/>
    <mergeCell ref="L55:L57"/>
    <mergeCell ref="M55:M57"/>
    <mergeCell ref="M50:M53"/>
    <mergeCell ref="B55:B57"/>
    <mergeCell ref="C55:D57"/>
    <mergeCell ref="E55:E57"/>
    <mergeCell ref="F55:F57"/>
    <mergeCell ref="P55:P57"/>
    <mergeCell ref="C58:D58"/>
    <mergeCell ref="N55:N57"/>
    <mergeCell ref="O55:O57"/>
    <mergeCell ref="L50:L53"/>
    <mergeCell ref="Z42:AC42"/>
    <mergeCell ref="Z43:AC43"/>
    <mergeCell ref="T45:AF46"/>
    <mergeCell ref="B48:O48"/>
    <mergeCell ref="B49:B53"/>
    <mergeCell ref="C49:D53"/>
    <mergeCell ref="E49:J49"/>
    <mergeCell ref="P50:P53"/>
    <mergeCell ref="G50:G53"/>
    <mergeCell ref="E50:E53"/>
    <mergeCell ref="F50:F53"/>
    <mergeCell ref="Z38:AC38"/>
    <mergeCell ref="AG38:AH38"/>
    <mergeCell ref="Z39:AC39"/>
    <mergeCell ref="Z40:AC40"/>
    <mergeCell ref="AG40:AH40"/>
    <mergeCell ref="Z41:AC41"/>
    <mergeCell ref="J50:J53"/>
    <mergeCell ref="K50:K53"/>
    <mergeCell ref="Z34:AC34"/>
    <mergeCell ref="K49:P49"/>
    <mergeCell ref="Z35:AC35"/>
    <mergeCell ref="Z36:AC36"/>
    <mergeCell ref="Z37:AC37"/>
    <mergeCell ref="T30:W30"/>
    <mergeCell ref="T31:V31"/>
    <mergeCell ref="K33:Q33"/>
    <mergeCell ref="Z33:AC33"/>
    <mergeCell ref="Z26:AE26"/>
    <mergeCell ref="T28:V28"/>
    <mergeCell ref="B10:C10"/>
    <mergeCell ref="E10:Q11"/>
    <mergeCell ref="T11:U12"/>
    <mergeCell ref="V11:AA12"/>
    <mergeCell ref="K18:Q18"/>
    <mergeCell ref="Z19:AE19"/>
    <mergeCell ref="T21:U21"/>
    <mergeCell ref="Z22:AD23"/>
    <mergeCell ref="AI11:AK12"/>
    <mergeCell ref="Y6:AA6"/>
    <mergeCell ref="AI6:AK6"/>
    <mergeCell ref="AH9:AH10"/>
    <mergeCell ref="AI9:AK10"/>
    <mergeCell ref="T25:U25"/>
    <mergeCell ref="K8:Q8"/>
    <mergeCell ref="T8:U8"/>
    <mergeCell ref="V8:AA8"/>
    <mergeCell ref="T9:U10"/>
    <mergeCell ref="V9:AA10"/>
    <mergeCell ref="AH11:AH12"/>
    <mergeCell ref="AD5:AE5"/>
    <mergeCell ref="T1:AK2"/>
    <mergeCell ref="A1:R1"/>
    <mergeCell ref="J2:O2"/>
    <mergeCell ref="J3:O3"/>
    <mergeCell ref="T3:AK3"/>
    <mergeCell ref="J4:O4"/>
    <mergeCell ref="T4:AK4"/>
  </mergeCells>
  <printOptions/>
  <pageMargins left="0.75" right="0.5" top="0.5" bottom="0.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Q162"/>
  <sheetViews>
    <sheetView zoomScalePageLayoutView="0" workbookViewId="0" topLeftCell="A1">
      <selection activeCell="A134" sqref="A134:IV135"/>
    </sheetView>
  </sheetViews>
  <sheetFormatPr defaultColWidth="9.140625" defaultRowHeight="15"/>
  <cols>
    <col min="1" max="13" width="5.140625" style="84" customWidth="1"/>
    <col min="14" max="14" width="4.421875" style="84" customWidth="1"/>
    <col min="15" max="17" width="5.57421875" style="84" customWidth="1"/>
    <col min="18" max="16384" width="9.140625" style="84" customWidth="1"/>
  </cols>
  <sheetData>
    <row r="1" spans="1:17" ht="17.25" customHeight="1">
      <c r="A1" s="437" t="s">
        <v>422</v>
      </c>
      <c r="B1" s="437"/>
      <c r="C1" s="437"/>
      <c r="D1" s="437"/>
      <c r="E1" s="437"/>
      <c r="F1" s="437"/>
      <c r="G1" s="437"/>
      <c r="H1" s="437"/>
      <c r="I1" s="437"/>
      <c r="J1" s="437"/>
      <c r="K1" s="437"/>
      <c r="L1" s="437"/>
      <c r="M1" s="437"/>
      <c r="N1" s="437"/>
      <c r="O1" s="437"/>
      <c r="P1" s="437"/>
      <c r="Q1" s="437"/>
    </row>
    <row r="2" spans="1:17" ht="12.75" customHeight="1">
      <c r="A2" s="85"/>
      <c r="B2" s="85"/>
      <c r="C2" s="85"/>
      <c r="D2" s="86" t="s">
        <v>423</v>
      </c>
      <c r="E2" s="85"/>
      <c r="F2" s="85"/>
      <c r="G2" s="87"/>
      <c r="H2" s="87"/>
      <c r="I2" s="87"/>
      <c r="J2" s="87"/>
      <c r="K2" s="87"/>
      <c r="L2" s="85"/>
      <c r="M2" s="85"/>
      <c r="N2" s="85"/>
      <c r="O2" s="85"/>
      <c r="P2" s="85"/>
      <c r="Q2" s="85"/>
    </row>
    <row r="3" spans="1:17" ht="13.5" customHeight="1">
      <c r="A3" s="88"/>
      <c r="B3" s="88"/>
      <c r="C3" s="88"/>
      <c r="D3" s="88" t="s">
        <v>424</v>
      </c>
      <c r="E3" s="88"/>
      <c r="F3" s="88"/>
      <c r="G3" s="88"/>
      <c r="H3" s="89"/>
      <c r="I3" s="89"/>
      <c r="J3" s="89"/>
      <c r="K3" s="90"/>
      <c r="L3" s="90"/>
      <c r="M3" s="90"/>
      <c r="N3" s="90"/>
      <c r="O3" s="90"/>
      <c r="P3" s="90"/>
      <c r="Q3" s="90"/>
    </row>
    <row r="4" spans="1:17" ht="2.25" customHeight="1">
      <c r="A4" s="88"/>
      <c r="B4" s="88"/>
      <c r="C4" s="88"/>
      <c r="D4" s="88"/>
      <c r="E4" s="88"/>
      <c r="F4" s="88"/>
      <c r="G4" s="88"/>
      <c r="H4" s="89"/>
      <c r="I4" s="89"/>
      <c r="J4" s="89"/>
      <c r="K4" s="90"/>
      <c r="L4" s="90"/>
      <c r="M4" s="90"/>
      <c r="N4" s="90"/>
      <c r="O4" s="90"/>
      <c r="P4" s="90"/>
      <c r="Q4" s="90"/>
    </row>
    <row r="5" spans="1:17" ht="14.25" customHeight="1">
      <c r="A5" s="90" t="s">
        <v>425</v>
      </c>
      <c r="B5" s="91"/>
      <c r="C5" s="91"/>
      <c r="D5" s="438" t="str">
        <f>L39</f>
        <v>2008-0308-007</v>
      </c>
      <c r="E5" s="438"/>
      <c r="F5" s="438"/>
      <c r="G5" s="438"/>
      <c r="H5" s="438"/>
      <c r="I5" s="438"/>
      <c r="J5" s="439"/>
      <c r="K5" s="90" t="s">
        <v>426</v>
      </c>
      <c r="L5" s="85"/>
      <c r="M5" s="85"/>
      <c r="N5" s="85"/>
      <c r="O5" s="440" t="str">
        <f>E39</f>
        <v>2008</v>
      </c>
      <c r="P5" s="441"/>
      <c r="Q5" s="441"/>
    </row>
    <row r="6" spans="1:17" ht="4.5" customHeight="1">
      <c r="A6" s="88"/>
      <c r="B6" s="88"/>
      <c r="C6" s="88"/>
      <c r="D6" s="88"/>
      <c r="E6" s="88"/>
      <c r="F6" s="88"/>
      <c r="G6" s="88"/>
      <c r="H6" s="88"/>
      <c r="I6" s="88"/>
      <c r="J6" s="88"/>
      <c r="K6" s="88"/>
      <c r="L6" s="88"/>
      <c r="M6" s="88"/>
      <c r="N6" s="88"/>
      <c r="O6" s="88"/>
      <c r="P6" s="88"/>
      <c r="Q6" s="88"/>
    </row>
    <row r="7" spans="1:17" ht="25.5" customHeight="1">
      <c r="A7" s="90" t="s">
        <v>427</v>
      </c>
      <c r="B7" s="89"/>
      <c r="C7" s="90"/>
      <c r="D7" s="442" t="str">
        <f>L41</f>
        <v>MEO, M.P Domakonda</v>
      </c>
      <c r="E7" s="442"/>
      <c r="F7" s="442"/>
      <c r="G7" s="442"/>
      <c r="H7" s="442"/>
      <c r="I7" s="442"/>
      <c r="J7" s="442"/>
      <c r="K7" s="443" t="s">
        <v>428</v>
      </c>
      <c r="L7" s="443"/>
      <c r="M7" s="444"/>
      <c r="N7" s="445"/>
      <c r="O7" s="445"/>
      <c r="P7" s="445"/>
      <c r="Q7" s="445"/>
    </row>
    <row r="8" spans="1:17" ht="10.5" customHeight="1">
      <c r="A8" s="89" t="s">
        <v>429</v>
      </c>
      <c r="B8" s="89"/>
      <c r="C8" s="89"/>
      <c r="D8" s="89"/>
      <c r="E8" s="89"/>
      <c r="F8" s="89"/>
      <c r="G8" s="89"/>
      <c r="H8" s="89"/>
      <c r="I8" s="89"/>
      <c r="J8" s="89"/>
      <c r="K8" s="89"/>
      <c r="L8" s="89"/>
      <c r="M8" s="89"/>
      <c r="N8" s="89"/>
      <c r="O8" s="89"/>
      <c r="P8" s="89"/>
      <c r="Q8" s="89"/>
    </row>
    <row r="9" spans="1:17" ht="15">
      <c r="A9" s="89" t="s">
        <v>430</v>
      </c>
      <c r="B9" s="89"/>
      <c r="C9" s="89"/>
      <c r="D9" s="89"/>
      <c r="E9" s="89"/>
      <c r="F9" s="89"/>
      <c r="G9" s="89"/>
      <c r="H9" s="89"/>
      <c r="I9" s="89"/>
      <c r="J9" s="89"/>
      <c r="K9" s="89"/>
      <c r="L9" s="89"/>
      <c r="M9" s="89"/>
      <c r="N9" s="89"/>
      <c r="O9" s="89"/>
      <c r="P9" s="89"/>
      <c r="Q9" s="89"/>
    </row>
    <row r="10" spans="1:17" ht="15">
      <c r="A10" s="432" t="s">
        <v>473</v>
      </c>
      <c r="B10" s="432"/>
      <c r="C10" s="432"/>
      <c r="D10" s="432"/>
      <c r="E10" s="432"/>
      <c r="F10" s="432"/>
      <c r="G10" s="432"/>
      <c r="H10" s="89"/>
      <c r="I10" s="89"/>
      <c r="J10" s="89"/>
      <c r="K10" s="89"/>
      <c r="L10" s="89"/>
      <c r="M10" s="89"/>
      <c r="N10" s="89"/>
      <c r="O10" s="89"/>
      <c r="P10" s="89"/>
      <c r="Q10" s="89"/>
    </row>
    <row r="11" spans="1:17" ht="3.75" customHeight="1">
      <c r="A11" s="89"/>
      <c r="B11" s="89"/>
      <c r="C11" s="89"/>
      <c r="D11" s="89"/>
      <c r="E11" s="89"/>
      <c r="F11" s="89"/>
      <c r="G11" s="89"/>
      <c r="H11" s="89"/>
      <c r="I11" s="89"/>
      <c r="J11" s="89"/>
      <c r="K11" s="89"/>
      <c r="L11" s="89"/>
      <c r="M11" s="89"/>
      <c r="N11" s="89"/>
      <c r="O11" s="89"/>
      <c r="P11" s="89"/>
      <c r="Q11" s="89"/>
    </row>
    <row r="12" spans="1:17" ht="15.75" customHeight="1">
      <c r="A12" s="89"/>
      <c r="B12" s="89" t="s">
        <v>431</v>
      </c>
      <c r="D12" s="89"/>
      <c r="E12" s="89"/>
      <c r="F12" s="89"/>
      <c r="G12" s="89"/>
      <c r="H12" s="89"/>
      <c r="I12" s="89" t="s">
        <v>432</v>
      </c>
      <c r="K12" s="89"/>
      <c r="L12" s="89"/>
      <c r="M12" s="89" t="s">
        <v>433</v>
      </c>
      <c r="N12" s="89"/>
      <c r="O12" s="433">
        <f>F63</f>
        <v>1365</v>
      </c>
      <c r="P12" s="434"/>
      <c r="Q12" s="434"/>
    </row>
    <row r="13" spans="1:17" ht="6" customHeight="1">
      <c r="A13" s="89"/>
      <c r="B13" s="89"/>
      <c r="C13" s="89"/>
      <c r="D13" s="89"/>
      <c r="E13" s="89"/>
      <c r="F13" s="89"/>
      <c r="G13" s="89"/>
      <c r="H13" s="89"/>
      <c r="I13" s="89"/>
      <c r="J13" s="89"/>
      <c r="K13" s="89"/>
      <c r="L13" s="89"/>
      <c r="M13" s="89"/>
      <c r="N13" s="89"/>
      <c r="O13" s="89"/>
      <c r="P13" s="89"/>
      <c r="Q13" s="89"/>
    </row>
    <row r="14" spans="1:17" ht="6.75" customHeight="1">
      <c r="A14" s="91"/>
      <c r="B14" s="91"/>
      <c r="C14" s="91"/>
      <c r="D14" s="435" t="str">
        <f>C65</f>
        <v>(One Thousand Three Hundred and Sixty five rupees only)</v>
      </c>
      <c r="E14" s="435"/>
      <c r="F14" s="435"/>
      <c r="G14" s="435"/>
      <c r="H14" s="435"/>
      <c r="I14" s="435"/>
      <c r="J14" s="435"/>
      <c r="K14" s="435"/>
      <c r="L14" s="435"/>
      <c r="M14" s="435"/>
      <c r="N14" s="435"/>
      <c r="O14" s="435"/>
      <c r="P14" s="92"/>
      <c r="Q14" s="92"/>
    </row>
    <row r="15" spans="1:17" ht="15.75" customHeight="1">
      <c r="A15" s="93"/>
      <c r="B15" s="93"/>
      <c r="C15" s="93"/>
      <c r="D15" s="435"/>
      <c r="E15" s="435"/>
      <c r="F15" s="435"/>
      <c r="G15" s="435"/>
      <c r="H15" s="435"/>
      <c r="I15" s="435"/>
      <c r="J15" s="435"/>
      <c r="K15" s="435"/>
      <c r="L15" s="435"/>
      <c r="M15" s="435"/>
      <c r="N15" s="435"/>
      <c r="O15" s="435"/>
      <c r="P15" s="92"/>
      <c r="Q15" s="92"/>
    </row>
    <row r="16" spans="1:17" ht="6.75" customHeight="1">
      <c r="A16" s="89"/>
      <c r="B16" s="89"/>
      <c r="C16" s="89"/>
      <c r="D16" s="89"/>
      <c r="E16" s="89"/>
      <c r="F16" s="89"/>
      <c r="G16" s="89"/>
      <c r="H16" s="89"/>
      <c r="I16" s="89"/>
      <c r="J16" s="89"/>
      <c r="K16" s="89"/>
      <c r="L16" s="89"/>
      <c r="M16" s="89"/>
      <c r="N16" s="89"/>
      <c r="O16" s="89"/>
      <c r="P16" s="89"/>
      <c r="Q16" s="89"/>
    </row>
    <row r="17" spans="1:17" ht="12.75" customHeight="1">
      <c r="A17" s="436"/>
      <c r="B17" s="436"/>
      <c r="C17" s="436"/>
      <c r="D17" s="436"/>
      <c r="E17" s="436"/>
      <c r="F17" s="436"/>
      <c r="G17" s="436"/>
      <c r="H17" s="436"/>
      <c r="I17" s="436"/>
      <c r="J17" s="436"/>
      <c r="K17" s="436"/>
      <c r="L17" s="436"/>
      <c r="M17" s="436"/>
      <c r="N17" s="436"/>
      <c r="O17" s="436"/>
      <c r="P17" s="436"/>
      <c r="Q17" s="436"/>
    </row>
    <row r="18" spans="1:17" ht="12.75" customHeight="1">
      <c r="A18" s="89" t="s">
        <v>434</v>
      </c>
      <c r="B18" s="89"/>
      <c r="C18" s="89"/>
      <c r="D18" s="89"/>
      <c r="E18" s="89"/>
      <c r="F18" s="89"/>
      <c r="G18" s="89"/>
      <c r="H18" s="89"/>
      <c r="I18" s="89"/>
      <c r="J18" s="89"/>
      <c r="K18" s="89"/>
      <c r="L18" s="89"/>
      <c r="M18" s="89"/>
      <c r="N18" s="89"/>
      <c r="O18" s="89"/>
      <c r="P18" s="89"/>
      <c r="Q18" s="89"/>
    </row>
    <row r="19" spans="1:17" ht="18" customHeight="1">
      <c r="A19" s="89"/>
      <c r="B19" s="89"/>
      <c r="C19" s="89"/>
      <c r="D19" s="89"/>
      <c r="E19" s="89"/>
      <c r="F19" s="89"/>
      <c r="G19" s="89"/>
      <c r="H19" s="89"/>
      <c r="I19" s="89"/>
      <c r="J19" s="89"/>
      <c r="K19" s="89"/>
      <c r="L19" s="89"/>
      <c r="M19" s="89"/>
      <c r="N19" s="89"/>
      <c r="O19" s="89"/>
      <c r="P19" s="89"/>
      <c r="Q19" s="89"/>
    </row>
    <row r="20" spans="1:17" ht="6.75" customHeight="1">
      <c r="A20" s="89"/>
      <c r="B20" s="89"/>
      <c r="C20" s="89"/>
      <c r="D20" s="89"/>
      <c r="E20" s="89"/>
      <c r="F20" s="89"/>
      <c r="G20" s="89"/>
      <c r="H20" s="89"/>
      <c r="I20" s="89"/>
      <c r="J20" s="89"/>
      <c r="K20" s="89"/>
      <c r="L20" s="89"/>
      <c r="M20" s="89"/>
      <c r="N20" s="89"/>
      <c r="O20" s="89"/>
      <c r="P20" s="89"/>
      <c r="Q20" s="89"/>
    </row>
    <row r="21" spans="1:17" ht="13.5" customHeight="1">
      <c r="A21" s="89" t="s">
        <v>435</v>
      </c>
      <c r="B21" s="89"/>
      <c r="C21" s="89"/>
      <c r="D21" s="89"/>
      <c r="E21" s="89"/>
      <c r="F21" s="89"/>
      <c r="G21" s="89"/>
      <c r="H21" s="89"/>
      <c r="I21" s="89"/>
      <c r="J21" s="89"/>
      <c r="K21" s="89"/>
      <c r="L21" s="89"/>
      <c r="M21" s="89" t="s">
        <v>436</v>
      </c>
      <c r="N21" s="89"/>
      <c r="O21" s="89"/>
      <c r="P21" s="89"/>
      <c r="Q21" s="89"/>
    </row>
    <row r="22" spans="1:17" ht="5.25" customHeight="1">
      <c r="A22" s="89"/>
      <c r="B22" s="89"/>
      <c r="C22" s="89"/>
      <c r="D22" s="89"/>
      <c r="E22" s="89"/>
      <c r="F22" s="89"/>
      <c r="G22" s="89"/>
      <c r="H22" s="89"/>
      <c r="I22" s="89"/>
      <c r="J22" s="89"/>
      <c r="K22" s="89"/>
      <c r="L22" s="89"/>
      <c r="M22" s="89"/>
      <c r="N22" s="89"/>
      <c r="O22" s="89"/>
      <c r="P22" s="89"/>
      <c r="Q22" s="89"/>
    </row>
    <row r="23" spans="1:17" ht="15">
      <c r="A23" s="89" t="s">
        <v>437</v>
      </c>
      <c r="B23" s="89"/>
      <c r="C23" s="89"/>
      <c r="D23" s="89"/>
      <c r="E23" s="89"/>
      <c r="F23" s="89"/>
      <c r="G23" s="89"/>
      <c r="H23" s="89"/>
      <c r="I23" s="89"/>
      <c r="J23" s="89"/>
      <c r="K23" s="89"/>
      <c r="L23" s="89"/>
      <c r="M23" s="89" t="s">
        <v>438</v>
      </c>
      <c r="N23" s="89"/>
      <c r="O23" s="89"/>
      <c r="P23" s="89"/>
      <c r="Q23" s="89"/>
    </row>
    <row r="24" spans="1:17" ht="15" customHeight="1">
      <c r="A24" s="89"/>
      <c r="B24" s="89"/>
      <c r="C24" s="89"/>
      <c r="D24" s="89"/>
      <c r="E24" s="89"/>
      <c r="F24" s="89"/>
      <c r="G24" s="89"/>
      <c r="H24" s="89"/>
      <c r="I24" s="89"/>
      <c r="J24" s="89"/>
      <c r="K24" s="89"/>
      <c r="L24" s="89"/>
      <c r="M24" s="89"/>
      <c r="N24" s="89"/>
      <c r="O24" s="89"/>
      <c r="P24" s="89"/>
      <c r="Q24" s="89"/>
    </row>
    <row r="25" spans="1:17" ht="15">
      <c r="A25" s="89"/>
      <c r="B25" s="89"/>
      <c r="C25" s="89"/>
      <c r="D25" s="89"/>
      <c r="E25" s="89"/>
      <c r="F25" s="89"/>
      <c r="G25" s="89"/>
      <c r="H25" s="89"/>
      <c r="I25" s="89"/>
      <c r="J25" s="89"/>
      <c r="K25" s="89"/>
      <c r="L25" s="89"/>
      <c r="M25" s="89"/>
      <c r="N25" s="89"/>
      <c r="O25" s="89"/>
      <c r="P25" s="89"/>
      <c r="Q25" s="89"/>
    </row>
    <row r="26" spans="1:17" ht="13.5" customHeight="1">
      <c r="A26" s="89"/>
      <c r="B26" s="89"/>
      <c r="C26" s="89" t="s">
        <v>439</v>
      </c>
      <c r="D26" s="89"/>
      <c r="E26" s="89"/>
      <c r="F26" s="89"/>
      <c r="G26" s="89"/>
      <c r="H26" s="89"/>
      <c r="I26" s="89"/>
      <c r="J26" s="89"/>
      <c r="K26" s="89"/>
      <c r="L26" s="89"/>
      <c r="M26" s="89" t="s">
        <v>440</v>
      </c>
      <c r="N26" s="89"/>
      <c r="O26" s="89"/>
      <c r="P26" s="89"/>
      <c r="Q26" s="89"/>
    </row>
    <row r="27" spans="1:17" ht="13.5" customHeight="1">
      <c r="A27" s="89"/>
      <c r="B27" s="89"/>
      <c r="C27" s="89"/>
      <c r="D27" s="89"/>
      <c r="E27" s="89"/>
      <c r="F27" s="89"/>
      <c r="G27" s="89"/>
      <c r="H27" s="89"/>
      <c r="I27" s="89"/>
      <c r="J27" s="89"/>
      <c r="K27" s="89"/>
      <c r="L27" s="89"/>
      <c r="M27" s="89" t="s">
        <v>441</v>
      </c>
      <c r="N27" s="89"/>
      <c r="O27" s="89"/>
      <c r="P27" s="89"/>
      <c r="Q27" s="89"/>
    </row>
    <row r="28" spans="1:17" ht="15">
      <c r="A28" s="89"/>
      <c r="B28" s="89"/>
      <c r="C28" s="89"/>
      <c r="D28" s="89"/>
      <c r="E28" s="89"/>
      <c r="F28" s="89"/>
      <c r="G28" s="89"/>
      <c r="H28" s="89"/>
      <c r="I28" s="89"/>
      <c r="J28" s="89"/>
      <c r="K28" s="89"/>
      <c r="L28" s="89"/>
      <c r="M28" s="89"/>
      <c r="N28" s="89"/>
      <c r="O28" s="89"/>
      <c r="P28" s="89"/>
      <c r="Q28" s="89"/>
    </row>
    <row r="29" spans="1:17" ht="15">
      <c r="A29" s="89" t="s">
        <v>442</v>
      </c>
      <c r="B29" s="89"/>
      <c r="C29" s="89"/>
      <c r="D29" s="89"/>
      <c r="E29" s="89"/>
      <c r="F29" s="89"/>
      <c r="G29" s="89"/>
      <c r="H29" s="89"/>
      <c r="I29" s="89"/>
      <c r="J29" s="89"/>
      <c r="K29" s="89"/>
      <c r="L29" s="89"/>
      <c r="M29" s="89"/>
      <c r="N29" s="89"/>
      <c r="O29" s="89"/>
      <c r="P29" s="89"/>
      <c r="Q29" s="89"/>
    </row>
    <row r="30" spans="1:17" ht="27.75" customHeight="1">
      <c r="A30" s="89"/>
      <c r="B30" s="89"/>
      <c r="C30" s="89"/>
      <c r="D30" s="89"/>
      <c r="E30" s="89"/>
      <c r="F30" s="89"/>
      <c r="G30" s="89"/>
      <c r="H30" s="89"/>
      <c r="I30" s="89"/>
      <c r="J30" s="89"/>
      <c r="K30" s="89"/>
      <c r="L30" s="89"/>
      <c r="M30" s="89"/>
      <c r="N30" s="89"/>
      <c r="O30" s="89"/>
      <c r="P30" s="89"/>
      <c r="Q30" s="89"/>
    </row>
    <row r="31" spans="1:17" ht="15">
      <c r="A31" s="89"/>
      <c r="B31" s="89"/>
      <c r="C31" s="89"/>
      <c r="D31" s="89"/>
      <c r="E31" s="89"/>
      <c r="F31" s="89"/>
      <c r="G31" s="89"/>
      <c r="H31" s="89"/>
      <c r="I31" s="89"/>
      <c r="J31" s="89"/>
      <c r="K31" s="89"/>
      <c r="L31" s="89"/>
      <c r="M31" s="89"/>
      <c r="N31" s="89"/>
      <c r="O31" s="89"/>
      <c r="P31" s="89"/>
      <c r="Q31" s="89"/>
    </row>
    <row r="32" spans="1:17" ht="15">
      <c r="A32" s="84" t="s">
        <v>443</v>
      </c>
      <c r="B32" s="89"/>
      <c r="C32" s="89"/>
      <c r="D32" s="89"/>
      <c r="E32" s="89"/>
      <c r="F32" s="89"/>
      <c r="G32" s="89"/>
      <c r="H32" s="89"/>
      <c r="I32" s="89"/>
      <c r="J32" s="89"/>
      <c r="K32" s="89"/>
      <c r="L32" s="89"/>
      <c r="M32" s="89"/>
      <c r="N32" s="89"/>
      <c r="O32" s="89"/>
      <c r="P32" s="89"/>
      <c r="Q32" s="89"/>
    </row>
    <row r="33" spans="1:17" ht="15">
      <c r="A33" s="89"/>
      <c r="B33" s="89"/>
      <c r="C33" s="89"/>
      <c r="D33" s="89"/>
      <c r="E33" s="89"/>
      <c r="F33" s="89"/>
      <c r="G33" s="89"/>
      <c r="H33" s="89"/>
      <c r="I33" s="89"/>
      <c r="J33" s="89"/>
      <c r="K33" s="89"/>
      <c r="L33" s="89"/>
      <c r="M33" s="89"/>
      <c r="N33" s="89"/>
      <c r="O33" s="89"/>
      <c r="P33" s="89"/>
      <c r="Q33" s="89"/>
    </row>
    <row r="34" spans="1:17" ht="15">
      <c r="A34" s="89"/>
      <c r="B34" s="89"/>
      <c r="C34" s="89"/>
      <c r="D34" s="89"/>
      <c r="E34" s="89"/>
      <c r="F34" s="89"/>
      <c r="G34" s="89"/>
      <c r="H34" s="89"/>
      <c r="I34" s="89"/>
      <c r="J34" s="89"/>
      <c r="K34" s="89"/>
      <c r="L34" s="89"/>
      <c r="M34" s="89"/>
      <c r="N34" s="89"/>
      <c r="O34" s="89"/>
      <c r="P34" s="89"/>
      <c r="Q34" s="89"/>
    </row>
    <row r="35" spans="1:17" ht="15">
      <c r="A35" s="89"/>
      <c r="B35" s="89"/>
      <c r="C35" s="89"/>
      <c r="D35" s="89"/>
      <c r="E35" s="89"/>
      <c r="F35" s="89"/>
      <c r="G35" s="89"/>
      <c r="H35" s="89"/>
      <c r="I35" s="89"/>
      <c r="J35" s="89"/>
      <c r="K35" s="89"/>
      <c r="L35" s="89"/>
      <c r="M35" s="89"/>
      <c r="N35" s="89"/>
      <c r="O35" s="89"/>
      <c r="P35" s="89"/>
      <c r="Q35" s="89"/>
    </row>
    <row r="36" spans="2:17" ht="15">
      <c r="B36" s="89"/>
      <c r="C36" s="89"/>
      <c r="D36" s="89"/>
      <c r="E36" s="89"/>
      <c r="F36" s="89"/>
      <c r="G36" s="89"/>
      <c r="H36" s="89"/>
      <c r="I36" s="89"/>
      <c r="J36" s="89"/>
      <c r="K36" s="89"/>
      <c r="L36" s="89"/>
      <c r="M36" s="89"/>
      <c r="N36" s="89"/>
      <c r="O36" s="89"/>
      <c r="P36" s="89"/>
      <c r="Q36" s="89"/>
    </row>
    <row r="37" spans="1:16" ht="18">
      <c r="A37" s="293" t="s">
        <v>444</v>
      </c>
      <c r="B37" s="293"/>
      <c r="C37" s="293"/>
      <c r="D37" s="293"/>
      <c r="E37" s="293"/>
      <c r="F37" s="293"/>
      <c r="G37" s="293"/>
      <c r="H37" s="293"/>
      <c r="I37" s="293"/>
      <c r="J37" s="293"/>
      <c r="K37" s="293"/>
      <c r="L37" s="293"/>
      <c r="M37" s="293"/>
      <c r="N37" s="293"/>
      <c r="O37" s="293"/>
      <c r="P37" s="293"/>
    </row>
    <row r="38" spans="1:16" ht="15.75">
      <c r="A38" s="386" t="s">
        <v>445</v>
      </c>
      <c r="B38" s="386"/>
      <c r="C38" s="386"/>
      <c r="D38" s="386"/>
      <c r="E38" s="386"/>
      <c r="F38" s="386"/>
      <c r="G38" s="386"/>
      <c r="H38" s="386"/>
      <c r="I38" s="386"/>
      <c r="J38" s="386"/>
      <c r="K38" s="386"/>
      <c r="L38" s="386"/>
      <c r="M38" s="386"/>
      <c r="N38" s="386"/>
      <c r="O38" s="386"/>
      <c r="P38" s="386"/>
    </row>
    <row r="39" spans="1:17" ht="20.25" customHeight="1">
      <c r="A39" s="84" t="s">
        <v>446</v>
      </c>
      <c r="E39" s="430" t="str">
        <f>'47 Out'!Y6</f>
        <v>2008</v>
      </c>
      <c r="F39" s="430"/>
      <c r="J39" s="84" t="s">
        <v>425</v>
      </c>
      <c r="L39" s="431" t="str">
        <f>'47 Out'!V8</f>
        <v>2008-0308-007</v>
      </c>
      <c r="M39" s="431"/>
      <c r="N39" s="431"/>
      <c r="O39" s="431"/>
      <c r="P39" s="431"/>
      <c r="Q39" s="431"/>
    </row>
    <row r="40" ht="4.5" customHeight="1"/>
    <row r="41" spans="1:17" ht="22.5" customHeight="1">
      <c r="A41" s="84" t="s">
        <v>447</v>
      </c>
      <c r="E41" s="428"/>
      <c r="F41" s="428"/>
      <c r="G41" s="428"/>
      <c r="H41" s="428"/>
      <c r="I41" s="428"/>
      <c r="J41" s="84" t="s">
        <v>448</v>
      </c>
      <c r="L41" s="429" t="str">
        <f>CONCATENATE('47 Out'!V9,", ",'47 Out'!AI9)</f>
        <v>MEO, M.P Domakonda</v>
      </c>
      <c r="M41" s="429"/>
      <c r="N41" s="429"/>
      <c r="O41" s="429"/>
      <c r="P41" s="429"/>
      <c r="Q41" s="429"/>
    </row>
    <row r="42" ht="5.25" customHeight="1"/>
    <row r="43" spans="1:13" ht="22.5" customHeight="1">
      <c r="A43" s="84" t="s">
        <v>449</v>
      </c>
      <c r="E43" s="94" t="s">
        <v>450</v>
      </c>
      <c r="J43" s="84" t="s">
        <v>451</v>
      </c>
      <c r="M43" s="94" t="s">
        <v>452</v>
      </c>
    </row>
    <row r="44" spans="1:17" ht="7.5" customHeight="1" thickBot="1">
      <c r="A44" s="95"/>
      <c r="B44" s="95"/>
      <c r="C44" s="95"/>
      <c r="D44" s="95"/>
      <c r="E44" s="95"/>
      <c r="F44" s="95"/>
      <c r="G44" s="95"/>
      <c r="H44" s="95"/>
      <c r="I44" s="95"/>
      <c r="J44" s="95"/>
      <c r="K44" s="95"/>
      <c r="L44" s="95"/>
      <c r="M44" s="95"/>
      <c r="N44" s="95"/>
      <c r="O44" s="95"/>
      <c r="P44" s="95"/>
      <c r="Q44" s="95"/>
    </row>
    <row r="45" ht="7.5" customHeight="1" thickBot="1"/>
    <row r="46" spans="1:12" ht="24" customHeight="1">
      <c r="A46" s="96" t="s">
        <v>453</v>
      </c>
      <c r="B46" s="30"/>
      <c r="C46" s="31"/>
      <c r="E46" s="97">
        <v>2</v>
      </c>
      <c r="F46" s="97">
        <v>2</v>
      </c>
      <c r="G46" s="97">
        <v>0</v>
      </c>
      <c r="H46" s="97">
        <v>2</v>
      </c>
      <c r="I46" s="74"/>
      <c r="J46" s="98" t="s">
        <v>232</v>
      </c>
      <c r="K46" s="74"/>
      <c r="L46" s="74"/>
    </row>
    <row r="47" spans="1:8" ht="3.75" customHeight="1">
      <c r="A47" s="99"/>
      <c r="B47" s="100"/>
      <c r="C47" s="101"/>
      <c r="E47" s="21"/>
      <c r="F47" s="21"/>
      <c r="G47" s="21"/>
      <c r="H47" s="21"/>
    </row>
    <row r="48" spans="1:10" ht="15">
      <c r="A48" s="99" t="s">
        <v>454</v>
      </c>
      <c r="B48" s="100"/>
      <c r="C48" s="101"/>
      <c r="E48" s="97">
        <v>0</v>
      </c>
      <c r="F48" s="97">
        <f>'47 Out'!W17</f>
        <v>1</v>
      </c>
      <c r="G48" s="21"/>
      <c r="H48" s="21"/>
      <c r="J48" s="84" t="str">
        <f>'47 Out'!AA17</f>
        <v>Ele. Edn.</v>
      </c>
    </row>
    <row r="49" spans="1:8" ht="8.25" customHeight="1">
      <c r="A49" s="99"/>
      <c r="B49" s="100"/>
      <c r="C49" s="101"/>
      <c r="E49" s="21"/>
      <c r="F49" s="21"/>
      <c r="G49" s="21"/>
      <c r="H49" s="21"/>
    </row>
    <row r="50" spans="1:16" ht="15" customHeight="1">
      <c r="A50" s="99"/>
      <c r="B50" s="100"/>
      <c r="C50" s="101"/>
      <c r="E50" s="97">
        <v>1</v>
      </c>
      <c r="F50" s="97">
        <f>'47 Out'!W19</f>
        <v>0</v>
      </c>
      <c r="G50" s="97">
        <f>'47 Out'!X19</f>
        <v>3</v>
      </c>
      <c r="H50" s="21"/>
      <c r="J50" s="429" t="str">
        <f>'47 Out'!Z19</f>
        <v>Assistance to the local bodies to Primary Education.</v>
      </c>
      <c r="K50" s="429"/>
      <c r="L50" s="429"/>
      <c r="M50" s="429"/>
      <c r="N50" s="429"/>
      <c r="O50" s="429"/>
      <c r="P50" s="429"/>
    </row>
    <row r="51" spans="1:16" ht="15">
      <c r="A51" s="99"/>
      <c r="B51" s="100"/>
      <c r="C51" s="101"/>
      <c r="E51" s="21"/>
      <c r="F51" s="21"/>
      <c r="G51" s="21"/>
      <c r="H51" s="21"/>
      <c r="J51" s="429"/>
      <c r="K51" s="429"/>
      <c r="L51" s="429"/>
      <c r="M51" s="429"/>
      <c r="N51" s="429"/>
      <c r="O51" s="429"/>
      <c r="P51" s="429"/>
    </row>
    <row r="52" spans="1:8" ht="12.75" customHeight="1">
      <c r="A52" s="99"/>
      <c r="B52" s="100"/>
      <c r="C52" s="101"/>
      <c r="E52" s="97" t="s">
        <v>245</v>
      </c>
      <c r="F52" s="97" t="s">
        <v>245</v>
      </c>
      <c r="G52" s="21"/>
      <c r="H52" s="21"/>
    </row>
    <row r="53" spans="1:8" ht="4.5" customHeight="1">
      <c r="A53" s="99"/>
      <c r="B53" s="100"/>
      <c r="C53" s="101"/>
      <c r="E53" s="21"/>
      <c r="F53" s="21"/>
      <c r="G53" s="21"/>
      <c r="H53" s="21"/>
    </row>
    <row r="54" spans="1:10" ht="15">
      <c r="A54" s="99"/>
      <c r="B54" s="100"/>
      <c r="C54" s="101"/>
      <c r="E54" s="97">
        <v>0</v>
      </c>
      <c r="F54" s="97">
        <f>'47 Out'!X23</f>
        <v>5</v>
      </c>
      <c r="G54" s="21"/>
      <c r="H54" s="21"/>
      <c r="J54" s="84" t="str">
        <f>'47 Out'!Z22</f>
        <v>Teaching Grants to MPP's.</v>
      </c>
    </row>
    <row r="55" spans="1:8" ht="4.5" customHeight="1">
      <c r="A55" s="99"/>
      <c r="B55" s="100"/>
      <c r="C55" s="101"/>
      <c r="E55" s="21"/>
      <c r="F55" s="21"/>
      <c r="G55" s="21"/>
      <c r="H55" s="21"/>
    </row>
    <row r="56" spans="1:10" ht="15.75" thickBot="1">
      <c r="A56" s="102"/>
      <c r="B56" s="95"/>
      <c r="C56" s="103"/>
      <c r="E56" s="97">
        <v>0</v>
      </c>
      <c r="F56" s="97">
        <v>1</v>
      </c>
      <c r="G56" s="97">
        <v>0</v>
      </c>
      <c r="H56" s="21"/>
      <c r="J56" s="84" t="s">
        <v>252</v>
      </c>
    </row>
    <row r="57" spans="1:17" ht="15.75" thickBot="1">
      <c r="A57" s="95"/>
      <c r="B57" s="95"/>
      <c r="C57" s="95"/>
      <c r="D57" s="95"/>
      <c r="E57" s="95"/>
      <c r="F57" s="95"/>
      <c r="G57" s="95"/>
      <c r="H57" s="95"/>
      <c r="I57" s="95"/>
      <c r="J57" s="95"/>
      <c r="K57" s="95"/>
      <c r="L57" s="95"/>
      <c r="M57" s="95"/>
      <c r="N57" s="95"/>
      <c r="O57" s="95"/>
      <c r="P57" s="95"/>
      <c r="Q57" s="95"/>
    </row>
    <row r="58" spans="2:14" ht="15">
      <c r="B58" s="84" t="s">
        <v>455</v>
      </c>
      <c r="C58" s="83"/>
      <c r="D58" s="83"/>
      <c r="E58" s="83"/>
      <c r="F58" s="83"/>
      <c r="G58" s="83"/>
      <c r="H58" s="425">
        <v>0</v>
      </c>
      <c r="I58" s="425"/>
      <c r="J58" s="425"/>
      <c r="K58" s="425"/>
      <c r="L58" s="425"/>
      <c r="M58" s="425"/>
      <c r="N58" s="425"/>
    </row>
    <row r="59" spans="2:14" ht="4.5" customHeight="1">
      <c r="B59" s="83"/>
      <c r="C59" s="83"/>
      <c r="D59" s="83"/>
      <c r="E59" s="83"/>
      <c r="F59" s="83"/>
      <c r="G59" s="83"/>
      <c r="H59" s="83"/>
      <c r="I59" s="83"/>
      <c r="J59" s="83"/>
      <c r="K59" s="83"/>
      <c r="L59" s="83"/>
      <c r="M59" s="83"/>
      <c r="N59" s="83"/>
    </row>
    <row r="60" spans="2:14" ht="15">
      <c r="B60" s="84" t="s">
        <v>456</v>
      </c>
      <c r="C60" s="83"/>
      <c r="D60" s="83"/>
      <c r="E60" s="83"/>
      <c r="F60" s="83"/>
      <c r="G60" s="83"/>
      <c r="H60" s="425">
        <v>0</v>
      </c>
      <c r="I60" s="425"/>
      <c r="J60" s="425"/>
      <c r="K60" s="425"/>
      <c r="L60" s="425"/>
      <c r="M60" s="425"/>
      <c r="N60" s="425"/>
    </row>
    <row r="61" spans="1:17" ht="3" customHeight="1" thickBot="1">
      <c r="A61" s="95"/>
      <c r="B61" s="95"/>
      <c r="C61" s="95"/>
      <c r="D61" s="95"/>
      <c r="E61" s="95"/>
      <c r="F61" s="95"/>
      <c r="G61" s="95"/>
      <c r="H61" s="95"/>
      <c r="I61" s="95"/>
      <c r="J61" s="95"/>
      <c r="K61" s="95"/>
      <c r="L61" s="95"/>
      <c r="M61" s="95"/>
      <c r="N61" s="95"/>
      <c r="O61" s="95"/>
      <c r="P61" s="95"/>
      <c r="Q61" s="95"/>
    </row>
    <row r="62" ht="3" customHeight="1"/>
    <row r="63" spans="2:10" ht="18">
      <c r="B63" s="94" t="s">
        <v>457</v>
      </c>
      <c r="F63" s="426">
        <f>'47 Out'!Z43</f>
        <v>1365</v>
      </c>
      <c r="G63" s="426"/>
      <c r="H63" s="426"/>
      <c r="I63" s="426"/>
      <c r="J63" s="426"/>
    </row>
    <row r="64" ht="5.25" customHeight="1"/>
    <row r="65" spans="3:16" ht="24.75" customHeight="1">
      <c r="C65" s="427" t="str">
        <f>'47 Out'!T45</f>
        <v>(One Thousand Three Hundred and Sixty five rupees only)</v>
      </c>
      <c r="D65" s="427"/>
      <c r="E65" s="427"/>
      <c r="F65" s="427"/>
      <c r="G65" s="427"/>
      <c r="H65" s="427"/>
      <c r="I65" s="427"/>
      <c r="J65" s="427"/>
      <c r="K65" s="427"/>
      <c r="L65" s="427"/>
      <c r="M65" s="427"/>
      <c r="N65" s="427"/>
      <c r="O65" s="427"/>
      <c r="P65" s="427"/>
    </row>
    <row r="66" spans="3:16" ht="24.75" customHeight="1">
      <c r="C66" s="427"/>
      <c r="D66" s="427"/>
      <c r="E66" s="427"/>
      <c r="F66" s="427"/>
      <c r="G66" s="427"/>
      <c r="H66" s="427"/>
      <c r="I66" s="427"/>
      <c r="J66" s="427"/>
      <c r="K66" s="427"/>
      <c r="L66" s="427"/>
      <c r="M66" s="427"/>
      <c r="N66" s="427"/>
      <c r="O66" s="427"/>
      <c r="P66" s="427"/>
    </row>
    <row r="68" ht="29.25" customHeight="1"/>
    <row r="69" spans="2:12" ht="15">
      <c r="B69" s="84" t="s">
        <v>458</v>
      </c>
      <c r="L69" s="84" t="s">
        <v>459</v>
      </c>
    </row>
    <row r="74" spans="1:17" ht="18.75">
      <c r="A74" s="416" t="s">
        <v>460</v>
      </c>
      <c r="B74" s="416"/>
      <c r="C74" s="416"/>
      <c r="D74" s="416"/>
      <c r="E74" s="416"/>
      <c r="F74" s="416"/>
      <c r="G74" s="416"/>
      <c r="H74" s="416"/>
      <c r="I74" s="416"/>
      <c r="J74" s="416"/>
      <c r="K74" s="416"/>
      <c r="L74" s="416"/>
      <c r="M74" s="416"/>
      <c r="N74" s="416"/>
      <c r="O74" s="416"/>
      <c r="P74" s="416"/>
      <c r="Q74" s="416"/>
    </row>
    <row r="75" spans="1:13" ht="21" customHeight="1">
      <c r="A75" s="413" t="s">
        <v>425</v>
      </c>
      <c r="B75" s="413"/>
      <c r="C75" s="413"/>
      <c r="D75" s="104"/>
      <c r="E75" s="338" t="str">
        <f>L39</f>
        <v>2008-0308-007</v>
      </c>
      <c r="F75" s="338"/>
      <c r="G75" s="338"/>
      <c r="H75" s="338"/>
      <c r="I75" s="338"/>
      <c r="M75" s="104" t="s">
        <v>96</v>
      </c>
    </row>
    <row r="76" spans="1:13" ht="21" customHeight="1">
      <c r="A76" s="413" t="s">
        <v>461</v>
      </c>
      <c r="B76" s="413"/>
      <c r="C76" s="413"/>
      <c r="D76" s="413"/>
      <c r="E76" s="414" t="str">
        <f>L41</f>
        <v>MEO, M.P Domakonda</v>
      </c>
      <c r="F76" s="414"/>
      <c r="G76" s="414"/>
      <c r="H76" s="414"/>
      <c r="I76" s="414"/>
      <c r="J76" s="414"/>
      <c r="K76" s="414"/>
      <c r="M76" s="104" t="s">
        <v>462</v>
      </c>
    </row>
    <row r="77" spans="1:11" ht="21" customHeight="1">
      <c r="A77" s="423" t="s">
        <v>463</v>
      </c>
      <c r="B77" s="423"/>
      <c r="C77" s="423"/>
      <c r="D77" s="423"/>
      <c r="E77" s="424" t="str">
        <f>'DATA ENTRY'!F24</f>
        <v>SBH Kamareddy</v>
      </c>
      <c r="F77" s="424"/>
      <c r="G77" s="424"/>
      <c r="H77" s="424"/>
      <c r="I77" s="424"/>
      <c r="J77" s="424"/>
      <c r="K77" s="424"/>
    </row>
    <row r="79" spans="1:17" ht="34.5" customHeight="1">
      <c r="A79" s="105" t="s">
        <v>464</v>
      </c>
      <c r="B79" s="403" t="s">
        <v>465</v>
      </c>
      <c r="C79" s="403"/>
      <c r="D79" s="403"/>
      <c r="E79" s="403"/>
      <c r="F79" s="403"/>
      <c r="G79" s="403"/>
      <c r="H79" s="403"/>
      <c r="I79" s="403" t="s">
        <v>466</v>
      </c>
      <c r="J79" s="403"/>
      <c r="K79" s="403"/>
      <c r="L79" s="403"/>
      <c r="M79" s="403"/>
      <c r="N79" s="403"/>
      <c r="O79" s="403" t="s">
        <v>229</v>
      </c>
      <c r="P79" s="403"/>
      <c r="Q79" s="403"/>
    </row>
    <row r="80" spans="1:17" ht="72.75" customHeight="1">
      <c r="A80" s="106">
        <v>1</v>
      </c>
      <c r="B80" s="417" t="str">
        <f>'DATA ENTRY'!D3</f>
        <v>Sri. P.Srinivas Reddy</v>
      </c>
      <c r="C80" s="418"/>
      <c r="D80" s="418"/>
      <c r="E80" s="418"/>
      <c r="F80" s="418"/>
      <c r="G80" s="418"/>
      <c r="H80" s="419"/>
      <c r="I80" s="420" t="str">
        <f>'DATA ENTRY'!C24</f>
        <v>123 456 789 10</v>
      </c>
      <c r="J80" s="421"/>
      <c r="K80" s="421"/>
      <c r="L80" s="421"/>
      <c r="M80" s="421"/>
      <c r="N80" s="422"/>
      <c r="O80" s="410">
        <v>2516</v>
      </c>
      <c r="P80" s="411"/>
      <c r="Q80" s="412"/>
    </row>
    <row r="81" spans="1:17" ht="45.75" customHeight="1">
      <c r="A81" s="400" t="s">
        <v>116</v>
      </c>
      <c r="B81" s="400"/>
      <c r="C81" s="400"/>
      <c r="D81" s="400"/>
      <c r="E81" s="400"/>
      <c r="F81" s="400"/>
      <c r="G81" s="400"/>
      <c r="H81" s="400"/>
      <c r="I81" s="400"/>
      <c r="J81" s="400"/>
      <c r="K81" s="400"/>
      <c r="L81" s="400"/>
      <c r="M81" s="400"/>
      <c r="N81" s="400"/>
      <c r="O81" s="401">
        <f>O80</f>
        <v>2516</v>
      </c>
      <c r="P81" s="400"/>
      <c r="Q81" s="400"/>
    </row>
    <row r="83" spans="1:17" s="94" customFormat="1" ht="24" customHeight="1">
      <c r="A83" s="84"/>
      <c r="B83" s="415" t="str">
        <f>C65</f>
        <v>(One Thousand Three Hundred and Sixty five rupees only)</v>
      </c>
      <c r="C83" s="415"/>
      <c r="D83" s="415"/>
      <c r="E83" s="415"/>
      <c r="F83" s="415"/>
      <c r="G83" s="415"/>
      <c r="H83" s="415"/>
      <c r="I83" s="415"/>
      <c r="J83" s="415"/>
      <c r="K83" s="415"/>
      <c r="L83" s="415"/>
      <c r="M83" s="415"/>
      <c r="N83" s="415"/>
      <c r="O83" s="84"/>
      <c r="P83" s="84"/>
      <c r="Q83" s="84"/>
    </row>
    <row r="84" spans="2:14" ht="24" customHeight="1">
      <c r="B84" s="415"/>
      <c r="C84" s="415"/>
      <c r="D84" s="415"/>
      <c r="E84" s="415"/>
      <c r="F84" s="415"/>
      <c r="G84" s="415"/>
      <c r="H84" s="415"/>
      <c r="I84" s="415"/>
      <c r="J84" s="415"/>
      <c r="K84" s="415"/>
      <c r="L84" s="415"/>
      <c r="M84" s="415"/>
      <c r="N84" s="415"/>
    </row>
    <row r="88" ht="24.75" customHeight="1"/>
    <row r="89" spans="2:12" ht="24.75" customHeight="1">
      <c r="B89" s="84" t="s">
        <v>458</v>
      </c>
      <c r="L89" s="84" t="s">
        <v>459</v>
      </c>
    </row>
    <row r="90" ht="19.5" customHeight="1"/>
    <row r="93" ht="15">
      <c r="A93" s="84" t="s">
        <v>467</v>
      </c>
    </row>
    <row r="97" spans="1:17" ht="18.75">
      <c r="A97" s="416" t="s">
        <v>468</v>
      </c>
      <c r="B97" s="416"/>
      <c r="C97" s="416"/>
      <c r="D97" s="416"/>
      <c r="E97" s="416"/>
      <c r="F97" s="416"/>
      <c r="G97" s="416"/>
      <c r="H97" s="416"/>
      <c r="I97" s="416"/>
      <c r="J97" s="416"/>
      <c r="K97" s="416"/>
      <c r="L97" s="416"/>
      <c r="M97" s="416"/>
      <c r="N97" s="416"/>
      <c r="O97" s="416"/>
      <c r="P97" s="416"/>
      <c r="Q97" s="416"/>
    </row>
    <row r="98" spans="1:12" ht="25.5" customHeight="1">
      <c r="A98" s="413" t="s">
        <v>425</v>
      </c>
      <c r="B98" s="413"/>
      <c r="C98" s="413"/>
      <c r="D98" s="104"/>
      <c r="E98" s="338" t="str">
        <f>E75</f>
        <v>2008-0308-007</v>
      </c>
      <c r="F98" s="338"/>
      <c r="G98" s="338"/>
      <c r="H98" s="338"/>
      <c r="I98" s="338"/>
      <c r="L98" s="104" t="s">
        <v>96</v>
      </c>
    </row>
    <row r="99" spans="1:12" ht="25.5" customHeight="1">
      <c r="A99" s="413" t="s">
        <v>461</v>
      </c>
      <c r="B99" s="413"/>
      <c r="C99" s="413"/>
      <c r="D99" s="413"/>
      <c r="E99" s="414" t="str">
        <f>E76</f>
        <v>MEO, M.P Domakonda</v>
      </c>
      <c r="F99" s="414"/>
      <c r="G99" s="414"/>
      <c r="H99" s="414"/>
      <c r="I99" s="414"/>
      <c r="J99" s="414"/>
      <c r="K99" s="414"/>
      <c r="L99" s="104" t="s">
        <v>462</v>
      </c>
    </row>
    <row r="101" spans="1:17" ht="30" customHeight="1">
      <c r="A101" s="105" t="s">
        <v>464</v>
      </c>
      <c r="B101" s="347" t="s">
        <v>469</v>
      </c>
      <c r="C101" s="348"/>
      <c r="D101" s="348"/>
      <c r="E101" s="348"/>
      <c r="F101" s="348"/>
      <c r="G101" s="348"/>
      <c r="H101" s="358"/>
      <c r="I101" s="403" t="s">
        <v>470</v>
      </c>
      <c r="J101" s="403"/>
      <c r="K101" s="403"/>
      <c r="L101" s="403"/>
      <c r="M101" s="403"/>
      <c r="N101" s="403"/>
      <c r="O101" s="403" t="s">
        <v>229</v>
      </c>
      <c r="P101" s="403"/>
      <c r="Q101" s="403"/>
    </row>
    <row r="102" spans="1:17" ht="77.25" customHeight="1">
      <c r="A102" s="106">
        <v>1</v>
      </c>
      <c r="B102" s="404" t="s">
        <v>473</v>
      </c>
      <c r="C102" s="405"/>
      <c r="D102" s="405"/>
      <c r="E102" s="405"/>
      <c r="F102" s="405"/>
      <c r="G102" s="405"/>
      <c r="H102" s="406"/>
      <c r="I102" s="407" t="str">
        <f>'47 Out'!T1</f>
        <v>Increment Preponement Arrears of Sri. P.Srinivas Reddy, SGT ,UPS Sitharampoor</v>
      </c>
      <c r="J102" s="408"/>
      <c r="K102" s="408"/>
      <c r="L102" s="408"/>
      <c r="M102" s="408"/>
      <c r="N102" s="409"/>
      <c r="O102" s="410">
        <f>'47 Out'!Z43</f>
        <v>1365</v>
      </c>
      <c r="P102" s="411"/>
      <c r="Q102" s="412"/>
    </row>
    <row r="103" spans="1:17" ht="41.25" customHeight="1">
      <c r="A103" s="400" t="s">
        <v>116</v>
      </c>
      <c r="B103" s="400"/>
      <c r="C103" s="400"/>
      <c r="D103" s="400"/>
      <c r="E103" s="400"/>
      <c r="F103" s="400"/>
      <c r="G103" s="400"/>
      <c r="H103" s="400"/>
      <c r="I103" s="400"/>
      <c r="J103" s="400"/>
      <c r="K103" s="400"/>
      <c r="L103" s="400"/>
      <c r="M103" s="400"/>
      <c r="N103" s="400"/>
      <c r="O103" s="401">
        <f>O102</f>
        <v>1365</v>
      </c>
      <c r="P103" s="400"/>
      <c r="Q103" s="400"/>
    </row>
    <row r="105" spans="2:15" ht="15">
      <c r="B105" s="402" t="str">
        <f>B83</f>
        <v>(One Thousand Three Hundred and Sixty five rupees only)</v>
      </c>
      <c r="C105" s="402"/>
      <c r="D105" s="402"/>
      <c r="E105" s="402"/>
      <c r="F105" s="402"/>
      <c r="G105" s="402"/>
      <c r="H105" s="402"/>
      <c r="I105" s="402"/>
      <c r="J105" s="402"/>
      <c r="K105" s="402"/>
      <c r="L105" s="402"/>
      <c r="M105" s="402"/>
      <c r="N105" s="402"/>
      <c r="O105" s="402"/>
    </row>
    <row r="106" spans="2:15" ht="15">
      <c r="B106" s="402"/>
      <c r="C106" s="402"/>
      <c r="D106" s="402"/>
      <c r="E106" s="402"/>
      <c r="F106" s="402"/>
      <c r="G106" s="402"/>
      <c r="H106" s="402"/>
      <c r="I106" s="402"/>
      <c r="J106" s="402"/>
      <c r="K106" s="402"/>
      <c r="L106" s="402"/>
      <c r="M106" s="402"/>
      <c r="N106" s="402"/>
      <c r="O106" s="402"/>
    </row>
    <row r="111" spans="2:12" ht="15">
      <c r="B111" s="84" t="s">
        <v>458</v>
      </c>
      <c r="L111" s="84" t="s">
        <v>459</v>
      </c>
    </row>
    <row r="113" ht="22.5" customHeight="1"/>
    <row r="114" spans="1:17" ht="21.75" customHeight="1">
      <c r="A114" s="386" t="str">
        <f>IF('DATA ENTRY'!C173=1,"Statement Showing the Deduction Particulars of AG GPF","Statement Showing the Deduction Particulars of ZP GPF")</f>
        <v>Statement Showing the Deduction Particulars of ZP GPF</v>
      </c>
      <c r="B114" s="386"/>
      <c r="C114" s="386"/>
      <c r="D114" s="386"/>
      <c r="E114" s="386"/>
      <c r="F114" s="386"/>
      <c r="G114" s="386"/>
      <c r="H114" s="386"/>
      <c r="I114" s="386"/>
      <c r="J114" s="386"/>
      <c r="K114" s="386"/>
      <c r="L114" s="386"/>
      <c r="M114" s="386"/>
      <c r="N114" s="386"/>
      <c r="O114" s="386"/>
      <c r="P114" s="386"/>
      <c r="Q114" s="386"/>
    </row>
    <row r="115" ht="9" customHeight="1"/>
    <row r="116" spans="1:17" ht="21.75" customHeight="1">
      <c r="A116" s="399" t="s">
        <v>474</v>
      </c>
      <c r="B116" s="399"/>
      <c r="C116" s="399"/>
      <c r="D116" s="399"/>
      <c r="E116" s="399"/>
      <c r="F116" s="399"/>
      <c r="G116" s="399"/>
      <c r="H116" s="399"/>
      <c r="I116" s="399"/>
      <c r="J116" s="399"/>
      <c r="K116" s="399"/>
      <c r="L116" s="399"/>
      <c r="M116" s="399"/>
      <c r="N116" s="399"/>
      <c r="O116" s="399"/>
      <c r="P116" s="399"/>
      <c r="Q116" s="399"/>
    </row>
    <row r="117" ht="11.25" customHeight="1"/>
    <row r="118" spans="1:17" ht="24" customHeight="1">
      <c r="A118" s="94" t="str">
        <f>A98</f>
        <v>DDO Code</v>
      </c>
      <c r="B118" s="94"/>
      <c r="C118" s="94"/>
      <c r="D118" s="94"/>
      <c r="E118" s="387" t="str">
        <f>E98</f>
        <v>2008-0308-007</v>
      </c>
      <c r="F118" s="387"/>
      <c r="G118" s="387"/>
      <c r="H118" s="387"/>
      <c r="I118" s="387"/>
      <c r="J118" s="94"/>
      <c r="K118" s="94"/>
      <c r="L118" s="94"/>
      <c r="M118" s="94"/>
      <c r="N118" s="94"/>
      <c r="O118" s="94"/>
      <c r="P118" s="94"/>
      <c r="Q118" s="94"/>
    </row>
    <row r="119" ht="6" customHeight="1"/>
    <row r="120" spans="1:5" ht="24.75" customHeight="1">
      <c r="A120" s="84" t="str">
        <f>A99</f>
        <v>DDO Name &amp; Desig:</v>
      </c>
      <c r="E120" s="84" t="str">
        <f>E99</f>
        <v>MEO, M.P Domakonda</v>
      </c>
    </row>
    <row r="121" ht="6" customHeight="1"/>
    <row r="122" ht="5.25" customHeight="1"/>
    <row r="123" spans="1:17" ht="30" customHeight="1">
      <c r="A123" s="107" t="s">
        <v>464</v>
      </c>
      <c r="B123" s="388" t="s">
        <v>471</v>
      </c>
      <c r="C123" s="389"/>
      <c r="D123" s="389"/>
      <c r="E123" s="389"/>
      <c r="F123" s="389"/>
      <c r="G123" s="390"/>
      <c r="H123" s="107" t="s">
        <v>472</v>
      </c>
      <c r="I123" s="391" t="s">
        <v>417</v>
      </c>
      <c r="J123" s="392"/>
      <c r="K123" s="392"/>
      <c r="L123" s="393"/>
      <c r="M123" s="388" t="s">
        <v>229</v>
      </c>
      <c r="N123" s="389"/>
      <c r="O123" s="389"/>
      <c r="P123" s="389"/>
      <c r="Q123" s="390"/>
    </row>
    <row r="124" spans="1:17" ht="28.5" customHeight="1">
      <c r="A124" s="371">
        <v>1</v>
      </c>
      <c r="B124" s="368" t="str">
        <f>'DATA ENTRY'!D3</f>
        <v>Sri. P.Srinivas Reddy</v>
      </c>
      <c r="C124" s="369"/>
      <c r="D124" s="369"/>
      <c r="E124" s="369"/>
      <c r="F124" s="369"/>
      <c r="G124" s="370"/>
      <c r="H124" s="374"/>
      <c r="I124" s="377">
        <f>'DATA ENTRY'!E23</f>
        <v>8260</v>
      </c>
      <c r="J124" s="378"/>
      <c r="K124" s="378"/>
      <c r="L124" s="379"/>
      <c r="M124" s="364" t="s">
        <v>475</v>
      </c>
      <c r="N124" s="365"/>
      <c r="O124" s="366" t="s">
        <v>475</v>
      </c>
      <c r="P124" s="366"/>
      <c r="Q124" s="367"/>
    </row>
    <row r="125" spans="1:17" ht="28.5" customHeight="1">
      <c r="A125" s="372"/>
      <c r="B125" s="368" t="str">
        <f>'DATA ENTRY'!F4</f>
        <v>SGT </v>
      </c>
      <c r="C125" s="369"/>
      <c r="D125" s="369"/>
      <c r="E125" s="369"/>
      <c r="F125" s="369"/>
      <c r="G125" s="370"/>
      <c r="H125" s="375"/>
      <c r="I125" s="380"/>
      <c r="J125" s="381"/>
      <c r="K125" s="381"/>
      <c r="L125" s="382"/>
      <c r="M125" s="395" t="s">
        <v>475</v>
      </c>
      <c r="N125" s="396"/>
      <c r="O125" s="397">
        <f>'47 Out'!AK38</f>
        <v>0</v>
      </c>
      <c r="P125" s="397"/>
      <c r="Q125" s="398"/>
    </row>
    <row r="126" spans="1:17" ht="28.5" customHeight="1">
      <c r="A126" s="373"/>
      <c r="B126" s="368" t="str">
        <f>'DATA ENTRY'!D5</f>
        <v>UPS Sitharampoor</v>
      </c>
      <c r="C126" s="369"/>
      <c r="D126" s="369"/>
      <c r="E126" s="369"/>
      <c r="F126" s="369"/>
      <c r="G126" s="370"/>
      <c r="H126" s="376"/>
      <c r="I126" s="383"/>
      <c r="J126" s="384"/>
      <c r="K126" s="384"/>
      <c r="L126" s="385"/>
      <c r="M126" s="108"/>
      <c r="N126" s="109"/>
      <c r="O126" s="110"/>
      <c r="P126" s="110"/>
      <c r="Q126" s="111"/>
    </row>
    <row r="127" spans="1:17" ht="31.5" customHeight="1">
      <c r="A127" s="359" t="s">
        <v>116</v>
      </c>
      <c r="B127" s="360"/>
      <c r="C127" s="360"/>
      <c r="D127" s="360"/>
      <c r="E127" s="360"/>
      <c r="F127" s="360"/>
      <c r="G127" s="360"/>
      <c r="H127" s="360"/>
      <c r="I127" s="360"/>
      <c r="J127" s="360"/>
      <c r="K127" s="360"/>
      <c r="L127" s="360"/>
      <c r="M127" s="361">
        <f>SUM(O124:Q125)</f>
        <v>0</v>
      </c>
      <c r="N127" s="362"/>
      <c r="O127" s="362"/>
      <c r="P127" s="362"/>
      <c r="Q127" s="363"/>
    </row>
    <row r="132" spans="11:17" ht="15">
      <c r="K132" s="394" t="s">
        <v>458</v>
      </c>
      <c r="L132" s="394"/>
      <c r="M132" s="394"/>
      <c r="N132" s="394"/>
      <c r="O132" s="394"/>
      <c r="P132" s="394"/>
      <c r="Q132" s="394"/>
    </row>
    <row r="133" spans="11:17" ht="15">
      <c r="K133" s="394"/>
      <c r="L133" s="394"/>
      <c r="M133" s="394"/>
      <c r="N133" s="394"/>
      <c r="O133" s="394"/>
      <c r="P133" s="394"/>
      <c r="Q133" s="394"/>
    </row>
    <row r="134" spans="11:17" ht="15">
      <c r="K134" s="112"/>
      <c r="L134" s="112"/>
      <c r="M134" s="112"/>
      <c r="N134" s="112"/>
      <c r="O134" s="112"/>
      <c r="P134" s="112"/>
      <c r="Q134" s="112"/>
    </row>
    <row r="135" spans="11:17" ht="15">
      <c r="K135" s="112"/>
      <c r="L135" s="112"/>
      <c r="M135" s="112"/>
      <c r="N135" s="112"/>
      <c r="O135" s="112"/>
      <c r="P135" s="112"/>
      <c r="Q135" s="112"/>
    </row>
    <row r="141" ht="15">
      <c r="A141" s="84" t="s">
        <v>467</v>
      </c>
    </row>
    <row r="146" spans="1:17" ht="22.5" customHeight="1">
      <c r="A146" s="386" t="str">
        <f>A114</f>
        <v>Statement Showing the Deduction Particulars of ZP GPF</v>
      </c>
      <c r="B146" s="386"/>
      <c r="C146" s="386"/>
      <c r="D146" s="386"/>
      <c r="E146" s="386"/>
      <c r="F146" s="386"/>
      <c r="G146" s="386"/>
      <c r="H146" s="386"/>
      <c r="I146" s="386"/>
      <c r="J146" s="386"/>
      <c r="K146" s="386"/>
      <c r="L146" s="386"/>
      <c r="M146" s="386"/>
      <c r="N146" s="386"/>
      <c r="O146" s="386"/>
      <c r="P146" s="386"/>
      <c r="Q146" s="386"/>
    </row>
    <row r="147" ht="12" customHeight="1"/>
    <row r="148" spans="1:17" ht="15.75">
      <c r="A148" s="386" t="str">
        <f>A116</f>
        <v>February,2010</v>
      </c>
      <c r="B148" s="386"/>
      <c r="C148" s="386"/>
      <c r="D148" s="386"/>
      <c r="E148" s="386"/>
      <c r="F148" s="386"/>
      <c r="G148" s="386"/>
      <c r="H148" s="386"/>
      <c r="I148" s="386"/>
      <c r="J148" s="386"/>
      <c r="K148" s="386"/>
      <c r="L148" s="386"/>
      <c r="M148" s="386"/>
      <c r="N148" s="386"/>
      <c r="O148" s="386"/>
      <c r="P148" s="386"/>
      <c r="Q148" s="386"/>
    </row>
    <row r="149" ht="6" customHeight="1"/>
    <row r="150" spans="1:9" ht="21" customHeight="1">
      <c r="A150" s="94" t="str">
        <f>A118</f>
        <v>DDO Code</v>
      </c>
      <c r="E150" s="387" t="str">
        <f>E118</f>
        <v>2008-0308-007</v>
      </c>
      <c r="F150" s="387"/>
      <c r="G150" s="387"/>
      <c r="H150" s="387"/>
      <c r="I150" s="387"/>
    </row>
    <row r="152" spans="1:5" ht="22.5" customHeight="1">
      <c r="A152" s="84" t="str">
        <f>A120</f>
        <v>DDO Name &amp; Desig:</v>
      </c>
      <c r="E152" s="84" t="str">
        <f>E120</f>
        <v>MEO, M.P Domakonda</v>
      </c>
    </row>
    <row r="154" spans="1:17" ht="40.5" customHeight="1">
      <c r="A154" s="107" t="s">
        <v>464</v>
      </c>
      <c r="B154" s="388" t="s">
        <v>471</v>
      </c>
      <c r="C154" s="389"/>
      <c r="D154" s="389"/>
      <c r="E154" s="389"/>
      <c r="F154" s="389"/>
      <c r="G154" s="390"/>
      <c r="H154" s="107" t="s">
        <v>472</v>
      </c>
      <c r="I154" s="391" t="s">
        <v>417</v>
      </c>
      <c r="J154" s="392"/>
      <c r="K154" s="392"/>
      <c r="L154" s="393"/>
      <c r="M154" s="388" t="s">
        <v>229</v>
      </c>
      <c r="N154" s="389"/>
      <c r="O154" s="389"/>
      <c r="P154" s="389"/>
      <c r="Q154" s="390"/>
    </row>
    <row r="155" spans="1:17" ht="29.25" customHeight="1">
      <c r="A155" s="371">
        <v>1</v>
      </c>
      <c r="B155" s="368" t="str">
        <f>B124</f>
        <v>Sri. P.Srinivas Reddy</v>
      </c>
      <c r="C155" s="369"/>
      <c r="D155" s="369"/>
      <c r="E155" s="369"/>
      <c r="F155" s="369"/>
      <c r="G155" s="370"/>
      <c r="H155" s="374">
        <f>H124</f>
        <v>0</v>
      </c>
      <c r="I155" s="377">
        <f>I124</f>
        <v>8260</v>
      </c>
      <c r="J155" s="378"/>
      <c r="K155" s="378"/>
      <c r="L155" s="379"/>
      <c r="M155" s="364" t="str">
        <f>M124</f>
        <v> </v>
      </c>
      <c r="N155" s="365"/>
      <c r="O155" s="366" t="str">
        <f>O124</f>
        <v> </v>
      </c>
      <c r="P155" s="366"/>
      <c r="Q155" s="367"/>
    </row>
    <row r="156" spans="1:17" ht="29.25" customHeight="1">
      <c r="A156" s="372"/>
      <c r="B156" s="368" t="str">
        <f>B125</f>
        <v>SGT </v>
      </c>
      <c r="C156" s="369"/>
      <c r="D156" s="369"/>
      <c r="E156" s="369"/>
      <c r="F156" s="369"/>
      <c r="G156" s="370"/>
      <c r="H156" s="375"/>
      <c r="I156" s="380"/>
      <c r="J156" s="381"/>
      <c r="K156" s="381"/>
      <c r="L156" s="382"/>
      <c r="M156" s="364" t="str">
        <f>M125</f>
        <v> </v>
      </c>
      <c r="N156" s="365"/>
      <c r="O156" s="366">
        <f>O125</f>
        <v>0</v>
      </c>
      <c r="P156" s="366"/>
      <c r="Q156" s="367"/>
    </row>
    <row r="157" spans="1:17" ht="29.25" customHeight="1">
      <c r="A157" s="373"/>
      <c r="B157" s="368" t="str">
        <f>B126</f>
        <v>UPS Sitharampoor</v>
      </c>
      <c r="C157" s="369"/>
      <c r="D157" s="369"/>
      <c r="E157" s="369"/>
      <c r="F157" s="369"/>
      <c r="G157" s="370"/>
      <c r="H157" s="376"/>
      <c r="I157" s="383"/>
      <c r="J157" s="384"/>
      <c r="K157" s="384"/>
      <c r="L157" s="385"/>
      <c r="M157" s="108"/>
      <c r="N157" s="109"/>
      <c r="O157" s="110"/>
      <c r="P157" s="110"/>
      <c r="Q157" s="111"/>
    </row>
    <row r="158" spans="1:17" ht="32.25" customHeight="1">
      <c r="A158" s="359" t="s">
        <v>116</v>
      </c>
      <c r="B158" s="360"/>
      <c r="C158" s="360"/>
      <c r="D158" s="360"/>
      <c r="E158" s="360"/>
      <c r="F158" s="360"/>
      <c r="G158" s="360"/>
      <c r="H158" s="360"/>
      <c r="I158" s="360"/>
      <c r="J158" s="360"/>
      <c r="K158" s="360"/>
      <c r="L158" s="360"/>
      <c r="M158" s="361">
        <f>SUM(O155:Q156)</f>
        <v>0</v>
      </c>
      <c r="N158" s="362"/>
      <c r="O158" s="362"/>
      <c r="P158" s="362"/>
      <c r="Q158" s="363"/>
    </row>
    <row r="159" spans="14:15" ht="15">
      <c r="N159" s="100"/>
      <c r="O159" s="100"/>
    </row>
    <row r="160" spans="14:15" ht="15">
      <c r="N160" s="100"/>
      <c r="O160" s="100"/>
    </row>
    <row r="162" ht="15">
      <c r="M162" s="84" t="s">
        <v>458</v>
      </c>
    </row>
  </sheetData>
  <sheetProtection/>
  <mergeCells count="89">
    <mergeCell ref="A10:G10"/>
    <mergeCell ref="O12:Q12"/>
    <mergeCell ref="D14:O15"/>
    <mergeCell ref="A17:Q17"/>
    <mergeCell ref="A1:Q1"/>
    <mergeCell ref="D5:J5"/>
    <mergeCell ref="O5:Q5"/>
    <mergeCell ref="D7:J7"/>
    <mergeCell ref="K7:L7"/>
    <mergeCell ref="M7:Q7"/>
    <mergeCell ref="E41:I41"/>
    <mergeCell ref="L41:Q41"/>
    <mergeCell ref="J50:P51"/>
    <mergeCell ref="H58:N58"/>
    <mergeCell ref="A37:P37"/>
    <mergeCell ref="A38:P38"/>
    <mergeCell ref="E39:F39"/>
    <mergeCell ref="L39:Q39"/>
    <mergeCell ref="A75:C75"/>
    <mergeCell ref="E75:I75"/>
    <mergeCell ref="A76:D76"/>
    <mergeCell ref="E76:K76"/>
    <mergeCell ref="H60:N60"/>
    <mergeCell ref="F63:J63"/>
    <mergeCell ref="C65:P66"/>
    <mergeCell ref="A74:Q74"/>
    <mergeCell ref="O79:Q79"/>
    <mergeCell ref="B80:H80"/>
    <mergeCell ref="I80:N80"/>
    <mergeCell ref="O80:Q80"/>
    <mergeCell ref="A77:D77"/>
    <mergeCell ref="E77:K77"/>
    <mergeCell ref="B79:H79"/>
    <mergeCell ref="I79:N79"/>
    <mergeCell ref="A98:C98"/>
    <mergeCell ref="E98:I98"/>
    <mergeCell ref="A99:D99"/>
    <mergeCell ref="E99:K99"/>
    <mergeCell ref="A81:N81"/>
    <mergeCell ref="O81:Q81"/>
    <mergeCell ref="B83:N84"/>
    <mergeCell ref="A97:Q97"/>
    <mergeCell ref="A103:N103"/>
    <mergeCell ref="O103:Q103"/>
    <mergeCell ref="B105:O106"/>
    <mergeCell ref="A114:Q114"/>
    <mergeCell ref="B101:H101"/>
    <mergeCell ref="I101:N101"/>
    <mergeCell ref="O101:Q101"/>
    <mergeCell ref="B102:H102"/>
    <mergeCell ref="I102:N102"/>
    <mergeCell ref="O102:Q102"/>
    <mergeCell ref="B124:G124"/>
    <mergeCell ref="H124:H126"/>
    <mergeCell ref="I124:L126"/>
    <mergeCell ref="B126:G126"/>
    <mergeCell ref="A116:Q116"/>
    <mergeCell ref="E118:I118"/>
    <mergeCell ref="B123:G123"/>
    <mergeCell ref="I123:L123"/>
    <mergeCell ref="M123:Q123"/>
    <mergeCell ref="A127:L127"/>
    <mergeCell ref="M127:Q127"/>
    <mergeCell ref="K132:Q132"/>
    <mergeCell ref="K133:Q133"/>
    <mergeCell ref="M124:N124"/>
    <mergeCell ref="O124:Q124"/>
    <mergeCell ref="B125:G125"/>
    <mergeCell ref="M125:N125"/>
    <mergeCell ref="O125:Q125"/>
    <mergeCell ref="A124:A126"/>
    <mergeCell ref="I155:L157"/>
    <mergeCell ref="B157:G157"/>
    <mergeCell ref="A146:Q146"/>
    <mergeCell ref="A148:Q148"/>
    <mergeCell ref="E150:I150"/>
    <mergeCell ref="B154:G154"/>
    <mergeCell ref="I154:L154"/>
    <mergeCell ref="M154:Q154"/>
    <mergeCell ref="A158:L158"/>
    <mergeCell ref="M158:Q158"/>
    <mergeCell ref="M155:N155"/>
    <mergeCell ref="O155:Q155"/>
    <mergeCell ref="B156:G156"/>
    <mergeCell ref="M156:N156"/>
    <mergeCell ref="O156:Q156"/>
    <mergeCell ref="A155:A157"/>
    <mergeCell ref="B155:G155"/>
    <mergeCell ref="H155:H157"/>
  </mergeCells>
  <printOptions/>
  <pageMargins left="0.75" right="0.5" top="0.75" bottom="0.5" header="0" footer="0"/>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2010-12-01T17:25:20Z</cp:lastPrinted>
  <dcterms:created xsi:type="dcterms:W3CDTF">2010-11-14T15:44:17Z</dcterms:created>
  <dcterms:modified xsi:type="dcterms:W3CDTF">2010-12-01T17:41:16Z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